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pcbcampus-my.sharepoint.com/personal/rcaseiro_ipcbcampus_pt/Documents/002_Learning/099_Archive/003_Escolas/001_Pos_Graduacao/Ciclo 3 - Pós/Investimento Imobiliário/"/>
    </mc:Choice>
  </mc:AlternateContent>
  <xr:revisionPtr revIDLastSave="92" documentId="13_ncr:1_{04201456-4A87-4BB4-BD2F-EA28067F7FDB}" xr6:coauthVersionLast="47" xr6:coauthVersionMax="47" xr10:uidLastSave="{1633A13B-6680-407A-93AE-63F5F649D1FD}"/>
  <bookViews>
    <workbookView xWindow="-120" yWindow="-120" windowWidth="29040" windowHeight="15720" tabRatio="883" activeTab="5" xr2:uid="{00000000-000D-0000-FFFF-FFFF00000000}"/>
  </bookViews>
  <sheets>
    <sheet name="Custos" sheetId="25" r:id="rId1"/>
    <sheet name="Custos Renegociados" sheetId="26" r:id="rId2"/>
    <sheet name="DCF_ai n=6" sheetId="27" r:id="rId3"/>
    <sheet name="DCF_ai" sheetId="11" r:id="rId4"/>
    <sheet name="DCF_di" sheetId="22" r:id="rId5"/>
    <sheet name="DCF_ai exercicio 1" sheetId="23" r:id="rId6"/>
    <sheet name="DCF_ai exercicio 2" sheetId="24" r:id="rId7"/>
  </sheets>
  <definedNames>
    <definedName name="TBILLS_LAST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27" l="1"/>
  <c r="J9" i="27"/>
  <c r="F3" i="26"/>
  <c r="D10" i="11"/>
  <c r="E21" i="11" l="1"/>
  <c r="F21" i="11" s="1"/>
  <c r="G21" i="11" s="1"/>
  <c r="H21" i="11" s="1"/>
  <c r="D21" i="11"/>
  <c r="H7" i="11"/>
  <c r="M3" i="27"/>
  <c r="D17" i="27"/>
  <c r="E17" i="27" s="1"/>
  <c r="F17" i="27" s="1"/>
  <c r="G17" i="27" s="1"/>
  <c r="H17" i="27" s="1"/>
  <c r="I17" i="27" s="1"/>
  <c r="J17" i="27" s="1"/>
  <c r="H28" i="27"/>
  <c r="F28" i="27"/>
  <c r="D24" i="27"/>
  <c r="C16" i="27"/>
  <c r="C18" i="27" s="1"/>
  <c r="C21" i="27" s="1"/>
  <c r="C23" i="27" s="1"/>
  <c r="C27" i="27" s="1"/>
  <c r="C30" i="27" s="1"/>
  <c r="F14" i="26"/>
  <c r="E14" i="26"/>
  <c r="D14" i="26"/>
  <c r="C14" i="26"/>
  <c r="C4" i="26"/>
  <c r="C17" i="26" s="1"/>
  <c r="C19" i="25"/>
  <c r="C4" i="25"/>
  <c r="F17" i="25" s="1"/>
  <c r="F15" i="25" s="1"/>
  <c r="F19" i="25" s="1"/>
  <c r="J25" i="24"/>
  <c r="E25" i="24"/>
  <c r="F13" i="24"/>
  <c r="F15" i="24" s="1"/>
  <c r="F17" i="24" s="1"/>
  <c r="F19" i="24" s="1"/>
  <c r="F23" i="24" s="1"/>
  <c r="F26" i="24" s="1"/>
  <c r="M22" i="24"/>
  <c r="L22" i="24"/>
  <c r="K22" i="24"/>
  <c r="J22" i="24"/>
  <c r="I22" i="24"/>
  <c r="H22" i="24"/>
  <c r="G22" i="24"/>
  <c r="F22" i="24"/>
  <c r="E22" i="24"/>
  <c r="D22" i="24"/>
  <c r="C19" i="24"/>
  <c r="C23" i="24" s="1"/>
  <c r="C17" i="24"/>
  <c r="E14" i="24"/>
  <c r="F14" i="24" s="1"/>
  <c r="G14" i="24" s="1"/>
  <c r="H14" i="24" s="1"/>
  <c r="I14" i="24" s="1"/>
  <c r="D13" i="24"/>
  <c r="D15" i="24" s="1"/>
  <c r="D17" i="24" s="1"/>
  <c r="D19" i="24" s="1"/>
  <c r="D23" i="24" s="1"/>
  <c r="C12" i="24"/>
  <c r="C26" i="24" s="1"/>
  <c r="H4" i="24"/>
  <c r="M24" i="23"/>
  <c r="C26" i="23"/>
  <c r="J13" i="23"/>
  <c r="K13" i="23"/>
  <c r="L13" i="23"/>
  <c r="M13" i="23"/>
  <c r="I13" i="23"/>
  <c r="I15" i="23" s="1"/>
  <c r="K15" i="23"/>
  <c r="E15" i="23"/>
  <c r="F15" i="23"/>
  <c r="G15" i="23"/>
  <c r="H15" i="23"/>
  <c r="L15" i="23"/>
  <c r="M15" i="23"/>
  <c r="D15" i="23"/>
  <c r="E14" i="23"/>
  <c r="F14" i="23" s="1"/>
  <c r="G14" i="23" s="1"/>
  <c r="H14" i="23" s="1"/>
  <c r="I14" i="23" s="1"/>
  <c r="J14" i="23" s="1"/>
  <c r="K14" i="23" s="1"/>
  <c r="L14" i="23" s="1"/>
  <c r="M14" i="23" s="1"/>
  <c r="D14" i="23"/>
  <c r="H4" i="23"/>
  <c r="I25" i="23" s="1"/>
  <c r="L22" i="23"/>
  <c r="M22" i="23"/>
  <c r="D13" i="23"/>
  <c r="D22" i="23"/>
  <c r="C12" i="23"/>
  <c r="C17" i="23" s="1"/>
  <c r="C19" i="23" s="1"/>
  <c r="C23" i="23" s="1"/>
  <c r="K33" i="22"/>
  <c r="J33" i="22"/>
  <c r="I33" i="22"/>
  <c r="H33" i="22"/>
  <c r="G33" i="22"/>
  <c r="M9" i="22" s="1"/>
  <c r="F33" i="22"/>
  <c r="E33" i="22"/>
  <c r="D33" i="22"/>
  <c r="H31" i="22"/>
  <c r="F31" i="22"/>
  <c r="D26" i="22"/>
  <c r="D28" i="22" s="1"/>
  <c r="D24" i="22"/>
  <c r="E24" i="22" s="1"/>
  <c r="F24" i="22" s="1"/>
  <c r="G24" i="22" s="1"/>
  <c r="H24" i="22" s="1"/>
  <c r="I24" i="22" s="1"/>
  <c r="J24" i="22" s="1"/>
  <c r="K24" i="22" s="1"/>
  <c r="L24" i="22" s="1"/>
  <c r="D20" i="22"/>
  <c r="E20" i="22" s="1"/>
  <c r="F20" i="22" s="1"/>
  <c r="G20" i="22" s="1"/>
  <c r="H20" i="22" s="1"/>
  <c r="C19" i="22"/>
  <c r="C21" i="22" s="1"/>
  <c r="C23" i="22" s="1"/>
  <c r="C25" i="22" s="1"/>
  <c r="C29" i="22" s="1"/>
  <c r="C32" i="22" s="1"/>
  <c r="C36" i="22" s="1"/>
  <c r="D12" i="22"/>
  <c r="D11" i="22"/>
  <c r="M8" i="22"/>
  <c r="M10" i="22" s="1"/>
  <c r="D6" i="22"/>
  <c r="H28" i="11"/>
  <c r="F28" i="11"/>
  <c r="D17" i="11"/>
  <c r="E17" i="11" s="1"/>
  <c r="F17" i="11" s="1"/>
  <c r="G17" i="11" s="1"/>
  <c r="H17" i="11" s="1"/>
  <c r="I17" i="11" s="1"/>
  <c r="J17" i="11" s="1"/>
  <c r="K17" i="11" s="1"/>
  <c r="L17" i="11" s="1"/>
  <c r="D9" i="11"/>
  <c r="C16" i="11"/>
  <c r="D23" i="11"/>
  <c r="D25" i="11" s="1"/>
  <c r="C18" i="11" l="1"/>
  <c r="C20" i="11" s="1"/>
  <c r="C22" i="11" s="1"/>
  <c r="C26" i="11" s="1"/>
  <c r="C29" i="11" s="1"/>
  <c r="I21" i="11"/>
  <c r="J21" i="11" s="1"/>
  <c r="K21" i="11" s="1"/>
  <c r="L21" i="11" s="1"/>
  <c r="D18" i="27"/>
  <c r="E24" i="27"/>
  <c r="E18" i="27"/>
  <c r="C19" i="26"/>
  <c r="E17" i="26"/>
  <c r="E19" i="26" s="1"/>
  <c r="D18" i="26"/>
  <c r="D15" i="26" s="1"/>
  <c r="D19" i="26" s="1"/>
  <c r="C23" i="26" s="1"/>
  <c r="F18" i="26"/>
  <c r="D17" i="25"/>
  <c r="D15" i="25" s="1"/>
  <c r="D19" i="25" s="1"/>
  <c r="F3" i="25" s="1"/>
  <c r="E17" i="25"/>
  <c r="E15" i="25" s="1"/>
  <c r="E19" i="25" s="1"/>
  <c r="F4" i="25" s="1"/>
  <c r="E13" i="24"/>
  <c r="E15" i="24" s="1"/>
  <c r="E16" i="24" s="1"/>
  <c r="I13" i="24"/>
  <c r="I15" i="24" s="1"/>
  <c r="H13" i="24"/>
  <c r="H15" i="24" s="1"/>
  <c r="H17" i="24" s="1"/>
  <c r="H19" i="24" s="1"/>
  <c r="H23" i="24" s="1"/>
  <c r="H26" i="24" s="1"/>
  <c r="G13" i="24"/>
  <c r="G15" i="24" s="1"/>
  <c r="G17" i="24" s="1"/>
  <c r="G19" i="24" s="1"/>
  <c r="G23" i="24" s="1"/>
  <c r="G26" i="24" s="1"/>
  <c r="E17" i="24"/>
  <c r="E19" i="24" s="1"/>
  <c r="E23" i="24" s="1"/>
  <c r="E26" i="24" s="1"/>
  <c r="J14" i="24"/>
  <c r="K6" i="24"/>
  <c r="D26" i="24"/>
  <c r="J15" i="23"/>
  <c r="H13" i="23"/>
  <c r="G13" i="23"/>
  <c r="F13" i="23"/>
  <c r="E13" i="23"/>
  <c r="D17" i="23"/>
  <c r="E22" i="23"/>
  <c r="D18" i="11"/>
  <c r="D19" i="11" s="1"/>
  <c r="H21" i="22"/>
  <c r="I20" i="22"/>
  <c r="F21" i="22"/>
  <c r="G21" i="22"/>
  <c r="D21" i="22"/>
  <c r="E26" i="22"/>
  <c r="E21" i="22"/>
  <c r="E18" i="11"/>
  <c r="E23" i="11"/>
  <c r="E20" i="27" l="1"/>
  <c r="E21" i="27" s="1"/>
  <c r="E26" i="27" s="1"/>
  <c r="D20" i="27"/>
  <c r="F24" i="27"/>
  <c r="F18" i="27"/>
  <c r="F20" i="27" s="1"/>
  <c r="F4" i="26"/>
  <c r="F15" i="26"/>
  <c r="F19" i="26" s="1"/>
  <c r="K14" i="24"/>
  <c r="L14" i="24" s="1"/>
  <c r="M14" i="24" s="1"/>
  <c r="M24" i="24" s="1"/>
  <c r="J13" i="24"/>
  <c r="J15" i="24" s="1"/>
  <c r="K13" i="24"/>
  <c r="K15" i="24" s="1"/>
  <c r="K17" i="24" s="1"/>
  <c r="K19" i="24" s="1"/>
  <c r="K23" i="24" s="1"/>
  <c r="K26" i="24" s="1"/>
  <c r="M13" i="24"/>
  <c r="M15" i="24" s="1"/>
  <c r="M17" i="24" s="1"/>
  <c r="M19" i="24" s="1"/>
  <c r="M23" i="24" s="1"/>
  <c r="L13" i="24"/>
  <c r="L15" i="24" s="1"/>
  <c r="L17" i="24" s="1"/>
  <c r="L19" i="24" s="1"/>
  <c r="L23" i="24" s="1"/>
  <c r="L26" i="24" s="1"/>
  <c r="M26" i="24"/>
  <c r="I17" i="24"/>
  <c r="I19" i="24" s="1"/>
  <c r="I23" i="24" s="1"/>
  <c r="I26" i="24" s="1"/>
  <c r="D19" i="23"/>
  <c r="E17" i="23"/>
  <c r="D20" i="11"/>
  <c r="D22" i="11" s="1"/>
  <c r="D26" i="11" s="1"/>
  <c r="K6" i="11" s="1"/>
  <c r="J20" i="22"/>
  <c r="I21" i="22"/>
  <c r="G22" i="22"/>
  <c r="G23" i="22" s="1"/>
  <c r="G25" i="22" s="1"/>
  <c r="E22" i="22"/>
  <c r="E23" i="22"/>
  <c r="E25" i="22" s="1"/>
  <c r="E28" i="22"/>
  <c r="F26" i="22"/>
  <c r="H23" i="22"/>
  <c r="H25" i="22" s="1"/>
  <c r="H22" i="22"/>
  <c r="D22" i="22"/>
  <c r="D23" i="22"/>
  <c r="D25" i="22" s="1"/>
  <c r="D29" i="22" s="1"/>
  <c r="F22" i="22"/>
  <c r="F23" i="22"/>
  <c r="F25" i="22" s="1"/>
  <c r="E25" i="11"/>
  <c r="F23" i="11"/>
  <c r="E19" i="11"/>
  <c r="E20" i="11" s="1"/>
  <c r="E22" i="11" s="1"/>
  <c r="F18" i="11"/>
  <c r="E23" i="27" l="1"/>
  <c r="E27" i="27" s="1"/>
  <c r="E30" i="27" s="1"/>
  <c r="D21" i="27"/>
  <c r="D26" i="27" s="1"/>
  <c r="G24" i="27"/>
  <c r="F21" i="27"/>
  <c r="F26" i="27" s="1"/>
  <c r="G18" i="27"/>
  <c r="G20" i="27" s="1"/>
  <c r="J16" i="24"/>
  <c r="J17" i="24" s="1"/>
  <c r="J19" i="24" s="1"/>
  <c r="J23" i="24" s="1"/>
  <c r="J26" i="24" s="1"/>
  <c r="L17" i="23"/>
  <c r="L19" i="23" s="1"/>
  <c r="L23" i="23" s="1"/>
  <c r="L26" i="23" s="1"/>
  <c r="D23" i="23"/>
  <c r="K5" i="23" s="1"/>
  <c r="E19" i="23"/>
  <c r="F22" i="23"/>
  <c r="F17" i="23"/>
  <c r="F19" i="23" s="1"/>
  <c r="F23" i="23" s="1"/>
  <c r="G22" i="23"/>
  <c r="F29" i="22"/>
  <c r="F32" i="22" s="1"/>
  <c r="F34" i="22" s="1"/>
  <c r="F28" i="22"/>
  <c r="G26" i="22"/>
  <c r="E29" i="22"/>
  <c r="E32" i="22" s="1"/>
  <c r="E34" i="22" s="1"/>
  <c r="D32" i="22"/>
  <c r="M5" i="22"/>
  <c r="I22" i="22"/>
  <c r="I23" i="22" s="1"/>
  <c r="I25" i="22" s="1"/>
  <c r="J21" i="22"/>
  <c r="K20" i="22"/>
  <c r="D29" i="11"/>
  <c r="E26" i="11"/>
  <c r="E29" i="11" s="1"/>
  <c r="F25" i="11"/>
  <c r="G23" i="11"/>
  <c r="G18" i="11"/>
  <c r="F19" i="11"/>
  <c r="F20" i="11" s="1"/>
  <c r="F22" i="11" s="1"/>
  <c r="F23" i="27" l="1"/>
  <c r="F27" i="27" s="1"/>
  <c r="F30" i="27" s="1"/>
  <c r="D23" i="27"/>
  <c r="D27" i="27" s="1"/>
  <c r="H24" i="27"/>
  <c r="G21" i="27"/>
  <c r="G26" i="27" s="1"/>
  <c r="H18" i="27"/>
  <c r="H20" i="27" s="1"/>
  <c r="K4" i="24"/>
  <c r="C42" i="24" s="1"/>
  <c r="K3" i="24"/>
  <c r="K5" i="24"/>
  <c r="M17" i="23"/>
  <c r="M19" i="23" s="1"/>
  <c r="M23" i="23" s="1"/>
  <c r="D26" i="23"/>
  <c r="E23" i="23"/>
  <c r="E26" i="23" s="1"/>
  <c r="F26" i="23"/>
  <c r="G17" i="23"/>
  <c r="H22" i="23"/>
  <c r="D34" i="22"/>
  <c r="G28" i="22"/>
  <c r="G29" i="22" s="1"/>
  <c r="G32" i="22" s="1"/>
  <c r="G34" i="22" s="1"/>
  <c r="H26" i="22"/>
  <c r="E35" i="22"/>
  <c r="E36" i="22"/>
  <c r="L20" i="22"/>
  <c r="L21" i="22" s="1"/>
  <c r="K21" i="22"/>
  <c r="J22" i="22"/>
  <c r="J23" i="22" s="1"/>
  <c r="J25" i="22" s="1"/>
  <c r="F35" i="22"/>
  <c r="F36" i="22" s="1"/>
  <c r="G25" i="11"/>
  <c r="H23" i="11"/>
  <c r="F26" i="11"/>
  <c r="F29" i="11" s="1"/>
  <c r="G19" i="11"/>
  <c r="G20" i="11" s="1"/>
  <c r="G22" i="11" s="1"/>
  <c r="H18" i="11"/>
  <c r="K5" i="27" l="1"/>
  <c r="D30" i="27"/>
  <c r="G23" i="27"/>
  <c r="G27" i="27" s="1"/>
  <c r="G30" i="27" s="1"/>
  <c r="I24" i="27"/>
  <c r="I18" i="27"/>
  <c r="I20" i="27" s="1"/>
  <c r="H21" i="27"/>
  <c r="H26" i="27" s="1"/>
  <c r="M26" i="23"/>
  <c r="G19" i="23"/>
  <c r="I22" i="23"/>
  <c r="H17" i="23"/>
  <c r="I16" i="23"/>
  <c r="D35" i="22"/>
  <c r="D36" i="22" s="1"/>
  <c r="L22" i="22"/>
  <c r="L23" i="22" s="1"/>
  <c r="L25" i="22" s="1"/>
  <c r="K22" i="22"/>
  <c r="K23" i="22" s="1"/>
  <c r="K25" i="22" s="1"/>
  <c r="I26" i="22"/>
  <c r="H28" i="22"/>
  <c r="H29" i="22" s="1"/>
  <c r="H32" i="22" s="1"/>
  <c r="H34" i="22" s="1"/>
  <c r="G35" i="22"/>
  <c r="G36" i="22" s="1"/>
  <c r="G26" i="11"/>
  <c r="G29" i="11" s="1"/>
  <c r="H25" i="11"/>
  <c r="I23" i="11"/>
  <c r="I18" i="11"/>
  <c r="H19" i="11"/>
  <c r="H20" i="11" s="1"/>
  <c r="H22" i="11" s="1"/>
  <c r="H23" i="27" l="1"/>
  <c r="H27" i="27" s="1"/>
  <c r="H30" i="27" s="1"/>
  <c r="I21" i="27"/>
  <c r="I26" i="27" s="1"/>
  <c r="G23" i="23"/>
  <c r="G26" i="23" s="1"/>
  <c r="H19" i="23"/>
  <c r="J22" i="23"/>
  <c r="I17" i="23"/>
  <c r="J26" i="22"/>
  <c r="I28" i="22"/>
  <c r="I29" i="22" s="1"/>
  <c r="I32" i="22" s="1"/>
  <c r="H35" i="22"/>
  <c r="H36" i="22" s="1"/>
  <c r="J18" i="11"/>
  <c r="I25" i="11"/>
  <c r="J23" i="11"/>
  <c r="H26" i="11"/>
  <c r="H29" i="11" s="1"/>
  <c r="I19" i="11"/>
  <c r="I20" i="11" s="1"/>
  <c r="I22" i="11" s="1"/>
  <c r="I26" i="11" l="1"/>
  <c r="I29" i="11" s="1"/>
  <c r="I23" i="27"/>
  <c r="I27" i="27" s="1"/>
  <c r="J18" i="27"/>
  <c r="J20" i="27" s="1"/>
  <c r="J24" i="27"/>
  <c r="I19" i="23"/>
  <c r="I23" i="23" s="1"/>
  <c r="I26" i="23" s="1"/>
  <c r="H23" i="23"/>
  <c r="H26" i="23" s="1"/>
  <c r="J17" i="23"/>
  <c r="K22" i="23"/>
  <c r="K26" i="22"/>
  <c r="J28" i="22"/>
  <c r="J29" i="22" s="1"/>
  <c r="J32" i="22" s="1"/>
  <c r="J34" i="22" s="1"/>
  <c r="I34" i="22"/>
  <c r="J25" i="11"/>
  <c r="K23" i="11"/>
  <c r="J19" i="11"/>
  <c r="J20" i="11" s="1"/>
  <c r="J22" i="11" s="1"/>
  <c r="L18" i="11"/>
  <c r="L19" i="11" s="1"/>
  <c r="L20" i="11" s="1"/>
  <c r="L22" i="11" s="1"/>
  <c r="K18" i="11"/>
  <c r="J21" i="27" l="1"/>
  <c r="J19" i="23"/>
  <c r="K17" i="23"/>
  <c r="I35" i="22"/>
  <c r="I36" i="22" s="1"/>
  <c r="K28" i="22"/>
  <c r="K29" i="22" s="1"/>
  <c r="L26" i="22"/>
  <c r="L28" i="22" s="1"/>
  <c r="L29" i="22" s="1"/>
  <c r="J35" i="22"/>
  <c r="J36" i="22" s="1"/>
  <c r="J26" i="11"/>
  <c r="J29" i="11" s="1"/>
  <c r="K19" i="11"/>
  <c r="K20" i="11" s="1"/>
  <c r="K22" i="11" s="1"/>
  <c r="K25" i="11"/>
  <c r="L23" i="11"/>
  <c r="L25" i="11" s="1"/>
  <c r="L26" i="11" s="1"/>
  <c r="N29" i="11" l="1"/>
  <c r="K27" i="11"/>
  <c r="J23" i="27"/>
  <c r="J26" i="27"/>
  <c r="J23" i="23"/>
  <c r="J26" i="23" s="1"/>
  <c r="K19" i="23"/>
  <c r="N32" i="22"/>
  <c r="K30" i="22"/>
  <c r="M11" i="22" s="1"/>
  <c r="M12" i="22" s="1"/>
  <c r="M13" i="22" s="1"/>
  <c r="K35" i="22" s="1"/>
  <c r="N29" i="22"/>
  <c r="K26" i="11"/>
  <c r="N26" i="11" s="1"/>
  <c r="D4" i="27" l="1"/>
  <c r="J27" i="27"/>
  <c r="K23" i="23"/>
  <c r="K32" i="22"/>
  <c r="K29" i="11"/>
  <c r="K4" i="11" l="1"/>
  <c r="K3" i="11"/>
  <c r="I29" i="27"/>
  <c r="I30" i="27" s="1"/>
  <c r="K3" i="27" s="1"/>
  <c r="K26" i="23"/>
  <c r="K5" i="11"/>
  <c r="K34" i="22"/>
  <c r="K36" i="22" s="1"/>
  <c r="M4" i="22" s="1"/>
  <c r="M3" i="22"/>
  <c r="C48" i="22" s="1"/>
  <c r="K4" i="27" l="1"/>
  <c r="C46" i="27"/>
  <c r="K4" i="23"/>
  <c r="K3" i="23"/>
  <c r="C42" i="23" s="1"/>
  <c r="C45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tc={9B06904E-21BA-48AB-A1E1-0D62C30E769D}</author>
  </authors>
  <commentList>
    <comment ref="B10" authorId="0" shapeId="0" xr:uid="{9B06904E-21BA-48AB-A1E1-0D62C30E769D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(Meses desocupação / ano) / período contrato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F6828B-918D-4D7C-B17E-84CB4612D93A}" keepAlive="1" name="Query - Price_data_Daily" description="Connection to the 'Price_data_Daily' query in the workbook." type="5" refreshedVersion="8" background="1" saveData="1">
    <dbPr connection="Provider=Microsoft.Mashup.OleDb.1;Data Source=$Workbook$;Location=Price_data_Daily;Extended Properties=&quot;&quot;" command="SELECT * FROM [Price_data_Daily]"/>
  </connection>
  <connection id="2" xr16:uid="{1C9BD45D-59A7-4AF6-B86C-F1C7C5CECE63}" keepAlive="1" name="Query - Setor_Trimestral" description="Connection to the 'Setor_Trimestral' query in the workbook." type="5" refreshedVersion="8" background="1" saveData="1">
    <dbPr connection="Provider=Microsoft.Mashup.OleDb.1;Data Source=$Workbook$;Location=Setor_Trimestral;Extended Properties=&quot;&quot;" command="SELECT * FROM [Setor_Trimestral]"/>
  </connection>
</connections>
</file>

<file path=xl/sharedStrings.xml><?xml version="1.0" encoding="utf-8"?>
<sst xmlns="http://schemas.openxmlformats.org/spreadsheetml/2006/main" count="290" uniqueCount="105">
  <si>
    <t>Pressupostos</t>
  </si>
  <si>
    <t>Períodos</t>
  </si>
  <si>
    <t>Entrada</t>
  </si>
  <si>
    <t>Análise de Sensibilidade</t>
  </si>
  <si>
    <t>Nr Apartamentos</t>
  </si>
  <si>
    <t>Área Bruta / Apartamento</t>
  </si>
  <si>
    <t>Substituição Cozinha 3º ano / apartamento</t>
  </si>
  <si>
    <t>Substituição Tela Impermeabilização 5º ano</t>
  </si>
  <si>
    <t>Anos de exploração</t>
  </si>
  <si>
    <t>Taxa desocupação</t>
  </si>
  <si>
    <t>Valor Aquisição</t>
  </si>
  <si>
    <t>Área Total (M2)</t>
  </si>
  <si>
    <t>Rendimento Potencial Bruto</t>
  </si>
  <si>
    <t>Renda mensal(€)/M2</t>
  </si>
  <si>
    <t>Renda Efectiva Anual Líquida</t>
  </si>
  <si>
    <t>Outros Rendimentos do Imóvel</t>
  </si>
  <si>
    <t>Rendimento Total</t>
  </si>
  <si>
    <t>Custos Operacionais Variáveis</t>
  </si>
  <si>
    <t>Valor Taxa Desocupação</t>
  </si>
  <si>
    <t>Total dos custos Operacionais</t>
  </si>
  <si>
    <t>Valor Residual Imóvel</t>
  </si>
  <si>
    <t>Substituição e manutenção</t>
  </si>
  <si>
    <t>Custos Operacionais Fixos / Apt</t>
  </si>
  <si>
    <t>n+1</t>
  </si>
  <si>
    <t>INFO</t>
  </si>
  <si>
    <t>VAL</t>
  </si>
  <si>
    <t>TIR</t>
  </si>
  <si>
    <t>Depreciação Anual do Imóvel</t>
  </si>
  <si>
    <t>RESULTADO OPERACIONAL</t>
  </si>
  <si>
    <t>Impostos (IRC + DERRAMA)</t>
  </si>
  <si>
    <t>Depreciação Anual</t>
  </si>
  <si>
    <t>Crescimento Renda</t>
  </si>
  <si>
    <t>g Custos Operacionais Fixos</t>
  </si>
  <si>
    <t>FCdi + Depreciações</t>
  </si>
  <si>
    <t>di = Depois de Impostos</t>
  </si>
  <si>
    <t>ai = Antes de Impostos</t>
  </si>
  <si>
    <t>Legenda:</t>
  </si>
  <si>
    <t>Mais Valias Imóvel</t>
  </si>
  <si>
    <t>Compra</t>
  </si>
  <si>
    <t>Venda</t>
  </si>
  <si>
    <t>Depreciações</t>
  </si>
  <si>
    <t xml:space="preserve">Mais Valias </t>
  </si>
  <si>
    <t>Valor contabilistico</t>
  </si>
  <si>
    <t>Custo Capital_di</t>
  </si>
  <si>
    <t>Custo Capital_ai</t>
  </si>
  <si>
    <t>g Crescimento Renda</t>
  </si>
  <si>
    <t>Taxa Descopução</t>
  </si>
  <si>
    <t>Cap Rate</t>
  </si>
  <si>
    <t>g Outros Rendimentos</t>
  </si>
  <si>
    <t>Ano de Projeto</t>
  </si>
  <si>
    <t>g Perpétuo (CF9/CF8)-1</t>
  </si>
  <si>
    <t>ROLai (NOI)</t>
  </si>
  <si>
    <t>Valor terminal = Rolai extra / (Custo Capital_ai - G perpétuo)</t>
  </si>
  <si>
    <t>Fluxo de caixa Operacional (EBITDA)</t>
  </si>
  <si>
    <t>VAL ai</t>
  </si>
  <si>
    <t>TIR ai</t>
  </si>
  <si>
    <t>Valor terminal = Rolai extra / (Custo Capital_ai - g perpétuo)</t>
  </si>
  <si>
    <t>Renovaçao Total</t>
  </si>
  <si>
    <t>g Renda</t>
  </si>
  <si>
    <t>Custos Operacionais Fixos</t>
  </si>
  <si>
    <t>Valor Residual Imóvel (10x a renda)</t>
  </si>
  <si>
    <t>Pressupostos Despesas</t>
  </si>
  <si>
    <t>Renovacão €/M2 - 6º ano</t>
  </si>
  <si>
    <t>Renda anual(€)/M2</t>
  </si>
  <si>
    <t>Renda atual anual mercado</t>
  </si>
  <si>
    <t>Renovacão €/M2 - 2º e 7º anos</t>
  </si>
  <si>
    <t>Renovaçao Total Unitária</t>
  </si>
  <si>
    <t>VA ai</t>
  </si>
  <si>
    <t>VAL Negativo = Mau Negócio</t>
  </si>
  <si>
    <t>Resultados</t>
  </si>
  <si>
    <t>Custo Capital</t>
  </si>
  <si>
    <t>Valor Atualizado Líquido (VAL)</t>
  </si>
  <si>
    <t>VAL Negativo</t>
  </si>
  <si>
    <t>€ apart.</t>
  </si>
  <si>
    <t>Taxa Interna de rendibilidade  (TIR)</t>
  </si>
  <si>
    <t>Anos de Projeto</t>
  </si>
  <si>
    <t>Custos</t>
  </si>
  <si>
    <t>Aquisição terreno</t>
  </si>
  <si>
    <t>Projeto e licenciamento</t>
  </si>
  <si>
    <t>Construção das infra estruturas</t>
  </si>
  <si>
    <t>Construção do imóvel</t>
  </si>
  <si>
    <t>Custos Imprevistos</t>
  </si>
  <si>
    <t>Fiscalização projeto</t>
  </si>
  <si>
    <t>Encargos de gestao</t>
  </si>
  <si>
    <t>Encargos comercializaçao (3,5%)</t>
  </si>
  <si>
    <t>Recebimentos</t>
  </si>
  <si>
    <t>Vendas de apartamentos</t>
  </si>
  <si>
    <t>Fluxo de caixa Operacional</t>
  </si>
  <si>
    <t>Quando VAL dá negativo, renegociar alguns custos pode ser uma boa opção para tornar o projeto economicamente atrativo.</t>
  </si>
  <si>
    <t>Renegociado?</t>
  </si>
  <si>
    <t>x</t>
  </si>
  <si>
    <t>CPCVs Apartamentos</t>
  </si>
  <si>
    <t>Escrituras</t>
  </si>
  <si>
    <t>Valor Desocupação</t>
  </si>
  <si>
    <t>Substituição e manutenção (Capex)</t>
  </si>
  <si>
    <t>Valor Residual Imóvel (Terminal Value)</t>
  </si>
  <si>
    <t>Cap rate = Yield Imobiliaria</t>
  </si>
  <si>
    <t>Tx. Desocupacacao</t>
  </si>
  <si>
    <t>Valor Atual</t>
  </si>
  <si>
    <t>Renda mensal</t>
  </si>
  <si>
    <t>g perpétuo = (CF7/CF6) - 1</t>
  </si>
  <si>
    <t>g Perpétuo (CF7/CF6)-1</t>
  </si>
  <si>
    <t>g perpétuo = (CF9/CF8) - 1</t>
  </si>
  <si>
    <t>G perpétuo = (CF9/CF8) - 1</t>
  </si>
  <si>
    <t>VAL positivo avançar com o projeto de investimento.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</si>
</sst>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#,##0.00\ &quot;€&quot;;[Red]\-#,##0.00\ &quot;€&quot;"/>
    <numFmt numFmtId="43" formatCode="_-* #,##0.00_-;\-* #,##0.00_-;_-* &quot;-&quot;??_-;_-@_-"/>
    <numFmt numFmtId="164" formatCode="0.0%"/>
    <numFmt numFmtId="165" formatCode="_-* #,##0_-;\(#,##0\)_-;_-* &quot;-&quot;_-;_-@_-"/>
    <numFmt numFmtId="166" formatCode="0.0"/>
    <numFmt numFmtId="167" formatCode="_-[$$-409]* #,##0.00_ ;_-[$$-409]* \-#,##0.00\ ;_-[$$-409]* &quot;-&quot;??_ ;_-@_ "/>
    <numFmt numFmtId="168" formatCode="#,##0.00\ &quot;€&quot;"/>
    <numFmt numFmtId="169" formatCode="#,##0.0\ &quot;€&quot;"/>
    <numFmt numFmtId="170" formatCode="#,##0\ &quot;€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0"/>
      <color theme="1"/>
      <name val="Open Sans"/>
    </font>
    <font>
      <b/>
      <sz val="10"/>
      <color theme="0"/>
      <name val="Open Sans"/>
      <family val="2"/>
    </font>
    <font>
      <sz val="10"/>
      <color theme="1"/>
      <name val="Open Sans"/>
    </font>
    <font>
      <b/>
      <sz val="1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7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10" fontId="0" fillId="0" borderId="0" xfId="1" applyNumberFormat="1" applyFont="1"/>
    <xf numFmtId="165" fontId="4" fillId="0" borderId="0" xfId="2" applyNumberFormat="1" applyFont="1"/>
    <xf numFmtId="165" fontId="4" fillId="0" borderId="0" xfId="2" applyNumberFormat="1" applyFont="1" applyBorder="1"/>
    <xf numFmtId="165" fontId="4" fillId="0" borderId="0" xfId="2" applyNumberFormat="1" applyFont="1" applyAlignment="1">
      <alignment horizontal="left" indent="1"/>
    </xf>
    <xf numFmtId="165" fontId="1" fillId="0" borderId="0" xfId="0" applyNumberFormat="1" applyFont="1"/>
    <xf numFmtId="166" fontId="0" fillId="0" borderId="0" xfId="0" applyNumberFormat="1"/>
    <xf numFmtId="165" fontId="0" fillId="0" borderId="0" xfId="0" applyNumberFormat="1"/>
    <xf numFmtId="165" fontId="5" fillId="0" borderId="0" xfId="2" applyNumberFormat="1" applyFont="1" applyFill="1"/>
    <xf numFmtId="165" fontId="7" fillId="2" borderId="0" xfId="2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0" fillId="3" borderId="0" xfId="0" applyNumberFormat="1" applyFill="1"/>
    <xf numFmtId="166" fontId="0" fillId="4" borderId="0" xfId="0" applyNumberFormat="1" applyFill="1"/>
    <xf numFmtId="168" fontId="0" fillId="0" borderId="0" xfId="0" applyNumberFormat="1"/>
    <xf numFmtId="168" fontId="0" fillId="0" borderId="0" xfId="0" applyNumberFormat="1" applyAlignment="1">
      <alignment horizontal="right"/>
    </xf>
    <xf numFmtId="165" fontId="8" fillId="0" borderId="0" xfId="2" applyNumberFormat="1" applyFont="1" applyFill="1" applyAlignment="1">
      <alignment horizontal="left" indent="1"/>
    </xf>
    <xf numFmtId="165" fontId="4" fillId="0" borderId="0" xfId="2" applyNumberFormat="1" applyFont="1" applyAlignment="1">
      <alignment horizontal="left"/>
    </xf>
    <xf numFmtId="169" fontId="0" fillId="0" borderId="0" xfId="0" applyNumberFormat="1" applyAlignment="1">
      <alignment horizontal="right"/>
    </xf>
    <xf numFmtId="170" fontId="0" fillId="0" borderId="0" xfId="0" applyNumberFormat="1"/>
    <xf numFmtId="170" fontId="0" fillId="0" borderId="0" xfId="0" applyNumberFormat="1" applyAlignment="1">
      <alignment horizontal="right"/>
    </xf>
    <xf numFmtId="165" fontId="8" fillId="0" borderId="0" xfId="2" applyNumberFormat="1" applyFont="1" applyAlignment="1">
      <alignment horizontal="left" indent="1"/>
    </xf>
    <xf numFmtId="170" fontId="1" fillId="0" borderId="0" xfId="0" applyNumberFormat="1" applyFont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/>
    <xf numFmtId="168" fontId="0" fillId="5" borderId="0" xfId="0" applyNumberFormat="1" applyFill="1" applyAlignment="1">
      <alignment horizontal="right"/>
    </xf>
    <xf numFmtId="170" fontId="1" fillId="5" borderId="0" xfId="0" applyNumberFormat="1" applyFont="1" applyFill="1" applyAlignment="1">
      <alignment horizontal="right"/>
    </xf>
    <xf numFmtId="170" fontId="0" fillId="5" borderId="0" xfId="0" applyNumberFormat="1" applyFill="1" applyAlignment="1">
      <alignment horizontal="right"/>
    </xf>
    <xf numFmtId="169" fontId="0" fillId="5" borderId="0" xfId="0" applyNumberFormat="1" applyFill="1" applyAlignment="1">
      <alignment horizontal="right"/>
    </xf>
    <xf numFmtId="165" fontId="1" fillId="5" borderId="0" xfId="0" applyNumberFormat="1" applyFont="1" applyFill="1"/>
    <xf numFmtId="165" fontId="9" fillId="5" borderId="0" xfId="2" applyNumberFormat="1" applyFont="1" applyFill="1" applyBorder="1" applyAlignment="1">
      <alignment horizontal="center"/>
    </xf>
    <xf numFmtId="164" fontId="4" fillId="0" borderId="0" xfId="1" applyNumberFormat="1" applyFont="1"/>
    <xf numFmtId="0" fontId="0" fillId="0" borderId="2" xfId="0" applyBorder="1"/>
    <xf numFmtId="0" fontId="3" fillId="0" borderId="2" xfId="0" applyFont="1" applyBorder="1"/>
    <xf numFmtId="167" fontId="0" fillId="0" borderId="3" xfId="0" applyNumberFormat="1" applyBorder="1"/>
    <xf numFmtId="164" fontId="4" fillId="0" borderId="2" xfId="1" applyNumberFormat="1" applyFont="1" applyFill="1" applyBorder="1" applyAlignment="1">
      <alignment horizontal="center"/>
    </xf>
    <xf numFmtId="166" fontId="0" fillId="0" borderId="1" xfId="0" applyNumberFormat="1" applyBorder="1"/>
    <xf numFmtId="166" fontId="0" fillId="0" borderId="5" xfId="0" applyNumberFormat="1" applyBorder="1"/>
    <xf numFmtId="164" fontId="4" fillId="0" borderId="4" xfId="1" applyNumberFormat="1" applyFont="1" applyFill="1" applyBorder="1" applyAlignment="1">
      <alignment horizontal="right"/>
    </xf>
    <xf numFmtId="0" fontId="0" fillId="0" borderId="6" xfId="0" applyBorder="1" applyAlignment="1">
      <alignment horizontal="right"/>
    </xf>
    <xf numFmtId="10" fontId="0" fillId="0" borderId="6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70" fontId="0" fillId="0" borderId="6" xfId="1" applyNumberFormat="1" applyFont="1" applyBorder="1" applyAlignment="1">
      <alignment horizontal="center"/>
    </xf>
    <xf numFmtId="165" fontId="7" fillId="2" borderId="6" xfId="2" applyNumberFormat="1" applyFont="1" applyFill="1" applyBorder="1" applyAlignment="1">
      <alignment horizontal="center"/>
    </xf>
    <xf numFmtId="10" fontId="4" fillId="0" borderId="0" xfId="1" applyNumberFormat="1" applyFont="1"/>
    <xf numFmtId="165" fontId="5" fillId="0" borderId="7" xfId="2" applyNumberFormat="1" applyFont="1" applyFill="1" applyBorder="1"/>
    <xf numFmtId="170" fontId="1" fillId="0" borderId="7" xfId="0" applyNumberFormat="1" applyFont="1" applyBorder="1" applyAlignment="1">
      <alignment horizontal="right"/>
    </xf>
    <xf numFmtId="165" fontId="6" fillId="0" borderId="7" xfId="2" applyNumberFormat="1" applyFont="1" applyBorder="1"/>
    <xf numFmtId="170" fontId="1" fillId="6" borderId="7" xfId="0" applyNumberFormat="1" applyFont="1" applyFill="1" applyBorder="1" applyAlignment="1">
      <alignment horizontal="right"/>
    </xf>
    <xf numFmtId="170" fontId="1" fillId="0" borderId="7" xfId="0" applyNumberFormat="1" applyFont="1" applyBorder="1"/>
    <xf numFmtId="165" fontId="5" fillId="0" borderId="0" xfId="2" applyNumberFormat="1" applyFont="1" applyFill="1" applyBorder="1"/>
    <xf numFmtId="165" fontId="8" fillId="0" borderId="0" xfId="2" applyNumberFormat="1" applyFont="1" applyFill="1" applyBorder="1" applyAlignment="1">
      <alignment horizontal="left" indent="1"/>
    </xf>
    <xf numFmtId="165" fontId="7" fillId="2" borderId="8" xfId="2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65" fontId="5" fillId="0" borderId="0" xfId="2" applyNumberFormat="1" applyFont="1" applyFill="1" applyAlignment="1">
      <alignment horizontal="left" indent="1"/>
    </xf>
    <xf numFmtId="165" fontId="5" fillId="0" borderId="0" xfId="2" applyNumberFormat="1" applyFont="1" applyFill="1" applyBorder="1" applyAlignment="1">
      <alignment horizontal="left" indent="1"/>
    </xf>
    <xf numFmtId="4" fontId="0" fillId="0" borderId="6" xfId="0" applyNumberFormat="1" applyBorder="1" applyAlignment="1">
      <alignment horizontal="center"/>
    </xf>
    <xf numFmtId="170" fontId="0" fillId="0" borderId="6" xfId="0" applyNumberFormat="1" applyBorder="1" applyAlignment="1">
      <alignment horizontal="right"/>
    </xf>
    <xf numFmtId="170" fontId="4" fillId="0" borderId="0" xfId="2" applyNumberFormat="1" applyFont="1" applyBorder="1"/>
    <xf numFmtId="10" fontId="0" fillId="0" borderId="6" xfId="1" applyNumberFormat="1" applyFont="1" applyFill="1" applyBorder="1" applyAlignment="1">
      <alignment horizontal="center"/>
    </xf>
    <xf numFmtId="170" fontId="0" fillId="0" borderId="6" xfId="0" applyNumberFormat="1" applyBorder="1"/>
    <xf numFmtId="10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0" fillId="0" borderId="6" xfId="0" applyBorder="1"/>
    <xf numFmtId="0" fontId="1" fillId="0" borderId="0" xfId="0" applyFont="1"/>
    <xf numFmtId="170" fontId="0" fillId="0" borderId="0" xfId="0" applyNumberFormat="1" applyAlignment="1">
      <alignment horizontal="center" vertical="center"/>
    </xf>
    <xf numFmtId="170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10" fontId="4" fillId="0" borderId="0" xfId="1" applyNumberFormat="1" applyFont="1" applyAlignment="1">
      <alignment horizontal="left"/>
    </xf>
    <xf numFmtId="168" fontId="0" fillId="0" borderId="0" xfId="0" applyNumberFormat="1" applyAlignment="1">
      <alignment horizontal="left"/>
    </xf>
    <xf numFmtId="9" fontId="2" fillId="0" borderId="0" xfId="1" applyFont="1" applyAlignment="1">
      <alignment horizontal="right"/>
    </xf>
    <xf numFmtId="9" fontId="2" fillId="5" borderId="0" xfId="1" applyFont="1" applyFill="1" applyAlignment="1">
      <alignment horizontal="right"/>
    </xf>
    <xf numFmtId="170" fontId="1" fillId="5" borderId="7" xfId="0" applyNumberFormat="1" applyFont="1" applyFill="1" applyBorder="1" applyAlignment="1">
      <alignment horizontal="right"/>
    </xf>
    <xf numFmtId="168" fontId="1" fillId="0" borderId="7" xfId="0" applyNumberFormat="1" applyFont="1" applyBorder="1"/>
    <xf numFmtId="168" fontId="1" fillId="6" borderId="7" xfId="0" applyNumberFormat="1" applyFont="1" applyFill="1" applyBorder="1" applyAlignment="1">
      <alignment horizontal="right"/>
    </xf>
    <xf numFmtId="8" fontId="0" fillId="0" borderId="0" xfId="0" applyNumberFormat="1"/>
    <xf numFmtId="165" fontId="7" fillId="2" borderId="5" xfId="2" applyNumberFormat="1" applyFont="1" applyFill="1" applyBorder="1" applyAlignment="1"/>
    <xf numFmtId="165" fontId="7" fillId="2" borderId="0" xfId="2" applyNumberFormat="1" applyFont="1" applyFill="1" applyBorder="1" applyAlignment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 wrapText="1"/>
    </xf>
    <xf numFmtId="165" fontId="7" fillId="2" borderId="0" xfId="2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right" vertical="center" textRotation="90"/>
    </xf>
    <xf numFmtId="165" fontId="7" fillId="2" borderId="10" xfId="2" applyNumberFormat="1" applyFont="1" applyFill="1" applyBorder="1" applyAlignment="1">
      <alignment horizontal="center"/>
    </xf>
    <xf numFmtId="165" fontId="7" fillId="2" borderId="7" xfId="2" applyNumberFormat="1" applyFont="1" applyFill="1" applyBorder="1" applyAlignment="1">
      <alignment horizontal="center"/>
    </xf>
    <xf numFmtId="165" fontId="7" fillId="2" borderId="11" xfId="2" applyNumberFormat="1" applyFont="1" applyFill="1" applyBorder="1" applyAlignment="1">
      <alignment horizontal="center"/>
    </xf>
    <xf numFmtId="165" fontId="7" fillId="2" borderId="8" xfId="2" applyNumberFormat="1" applyFont="1" applyFill="1" applyBorder="1" applyAlignment="1">
      <alignment horizontal="center"/>
    </xf>
    <xf numFmtId="165" fontId="7" fillId="2" borderId="5" xfId="2" applyNumberFormat="1" applyFont="1" applyFill="1" applyBorder="1" applyAlignment="1">
      <alignment horizontal="center"/>
    </xf>
    <xf numFmtId="165" fontId="7" fillId="2" borderId="6" xfId="2" applyNumberFormat="1" applyFont="1" applyFill="1" applyBorder="1" applyAlignment="1">
      <alignment horizontal="center"/>
    </xf>
    <xf numFmtId="165" fontId="7" fillId="2" borderId="9" xfId="2" applyNumberFormat="1" applyFont="1" applyFill="1" applyBorder="1" applyAlignment="1">
      <alignment horizontal="center"/>
    </xf>
    <xf numFmtId="165" fontId="7" fillId="2" borderId="2" xfId="2" applyNumberFormat="1" applyFont="1" applyFill="1" applyBorder="1" applyAlignment="1">
      <alignment horizontal="center"/>
    </xf>
    <xf numFmtId="165" fontId="7" fillId="2" borderId="0" xfId="2" applyNumberFormat="1" applyFont="1" applyFill="1" applyBorder="1" applyAlignment="1">
      <alignment horizontal="left"/>
    </xf>
  </cellXfs>
  <cellStyles count="3">
    <cellStyle name="Normal" xfId="0" builtinId="0"/>
    <cellStyle name="Percentagem" xfId="1" builtinId="5"/>
    <cellStyle name="Vírgula" xfId="2" builtinId="3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4</xdr:row>
      <xdr:rowOff>1</xdr:rowOff>
    </xdr:from>
    <xdr:to>
      <xdr:col>18</xdr:col>
      <xdr:colOff>98669</xdr:colOff>
      <xdr:row>23</xdr:row>
      <xdr:rowOff>114301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3FB2D52-9B1A-46F6-9FC7-792B457BD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6825" y="771526"/>
          <a:ext cx="6528044" cy="373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2076450</xdr:colOff>
      <xdr:row>24</xdr:row>
      <xdr:rowOff>47625</xdr:rowOff>
    </xdr:from>
    <xdr:to>
      <xdr:col>2</xdr:col>
      <xdr:colOff>1371600</xdr:colOff>
      <xdr:row>26</xdr:row>
      <xdr:rowOff>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47C97A4F-A538-4437-BF27-CFA3E283F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66950" y="4638675"/>
          <a:ext cx="1457325" cy="333375"/>
        </a:xfrm>
        <a:prstGeom prst="rect">
          <a:avLst/>
        </a:prstGeom>
        <a:noFill/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UI CASEIRO" id="{969007CC-C475-4CF0-9967-DBF027889DBD}" userId="S::rcaseiro@ipcbcampus.pt::48f02797-148f-4407-8cb9-b9d5bec4605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4-08-01T12:20:29.77" personId="{969007CC-C475-4CF0-9967-DBF027889DBD}" id="{9B06904E-21BA-48AB-A1E1-0D62C30E769D}">
    <text>(Meses desocupação / ano) / período contrato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DACB-0928-44F9-B685-EC414577BC57}">
  <dimension ref="B2:I19"/>
  <sheetViews>
    <sheetView workbookViewId="0">
      <selection activeCell="H15" sqref="H15"/>
    </sheetView>
  </sheetViews>
  <sheetFormatPr defaultRowHeight="15" x14ac:dyDescent="0.25"/>
  <cols>
    <col min="1" max="1" width="2.85546875" customWidth="1"/>
    <col min="2" max="2" width="32.42578125" bestFit="1" customWidth="1"/>
    <col min="3" max="3" width="20.7109375" customWidth="1"/>
    <col min="4" max="4" width="11.140625" bestFit="1" customWidth="1"/>
    <col min="5" max="5" width="32.7109375" bestFit="1" customWidth="1"/>
    <col min="6" max="6" width="15" customWidth="1"/>
    <col min="9" max="9" width="14.28515625" customWidth="1"/>
  </cols>
  <sheetData>
    <row r="2" spans="2:9" ht="15.75" x14ac:dyDescent="0.3">
      <c r="B2" s="11" t="s">
        <v>0</v>
      </c>
      <c r="C2" s="11"/>
      <c r="E2" s="11" t="s">
        <v>69</v>
      </c>
      <c r="F2" s="11"/>
    </row>
    <row r="3" spans="2:9" x14ac:dyDescent="0.25">
      <c r="B3" t="s">
        <v>70</v>
      </c>
      <c r="C3" s="62">
        <v>0.08</v>
      </c>
      <c r="E3" t="s">
        <v>71</v>
      </c>
      <c r="F3" s="20">
        <f>NPV(C3,D19:F19)+C19</f>
        <v>-59774.786617893726</v>
      </c>
      <c r="I3" t="s">
        <v>72</v>
      </c>
    </row>
    <row r="4" spans="2:9" x14ac:dyDescent="0.25">
      <c r="B4" t="s">
        <v>73</v>
      </c>
      <c r="C4" s="63">
        <f>3850000/8</f>
        <v>481250</v>
      </c>
      <c r="E4" t="s">
        <v>74</v>
      </c>
      <c r="F4" s="64">
        <f>IRR(C19:F19)</f>
        <v>6.840241223329202E-2</v>
      </c>
    </row>
    <row r="6" spans="2:9" x14ac:dyDescent="0.25">
      <c r="C6" s="83" t="s">
        <v>75</v>
      </c>
      <c r="D6" s="83"/>
      <c r="E6" s="83"/>
      <c r="F6" s="83"/>
    </row>
    <row r="7" spans="2:9" x14ac:dyDescent="0.25">
      <c r="B7" s="65" t="s">
        <v>76</v>
      </c>
      <c r="C7" s="43">
        <v>0</v>
      </c>
      <c r="D7" s="43">
        <v>1</v>
      </c>
      <c r="E7" s="43">
        <v>2</v>
      </c>
      <c r="F7" s="43">
        <v>3</v>
      </c>
    </row>
    <row r="8" spans="2:9" x14ac:dyDescent="0.25">
      <c r="B8" s="66" t="s">
        <v>77</v>
      </c>
      <c r="C8" s="63">
        <v>-700000</v>
      </c>
      <c r="D8" s="63"/>
      <c r="E8" s="63"/>
      <c r="F8" s="63"/>
    </row>
    <row r="9" spans="2:9" x14ac:dyDescent="0.25">
      <c r="B9" s="66" t="s">
        <v>78</v>
      </c>
      <c r="C9" s="63">
        <v>-4000</v>
      </c>
      <c r="D9" s="63"/>
      <c r="E9" s="63"/>
      <c r="F9" s="63"/>
    </row>
    <row r="10" spans="2:9" x14ac:dyDescent="0.25">
      <c r="B10" s="66" t="s">
        <v>79</v>
      </c>
      <c r="C10" s="63">
        <v>-350000</v>
      </c>
      <c r="D10" s="63"/>
      <c r="E10" s="63"/>
      <c r="F10" s="63"/>
    </row>
    <row r="11" spans="2:9" x14ac:dyDescent="0.25">
      <c r="B11" s="66" t="s">
        <v>80</v>
      </c>
      <c r="C11" s="63">
        <v>-2150000</v>
      </c>
      <c r="D11" s="63"/>
      <c r="E11" s="63"/>
      <c r="F11" s="63"/>
    </row>
    <row r="12" spans="2:9" x14ac:dyDescent="0.25">
      <c r="B12" s="66" t="s">
        <v>81</v>
      </c>
      <c r="C12" s="67"/>
      <c r="D12" s="63">
        <v>-50000</v>
      </c>
      <c r="E12" s="63"/>
      <c r="F12" s="63"/>
    </row>
    <row r="13" spans="2:9" x14ac:dyDescent="0.25">
      <c r="B13" s="66" t="s">
        <v>82</v>
      </c>
      <c r="C13" s="63">
        <v>-60000</v>
      </c>
      <c r="D13" s="63"/>
      <c r="E13" s="63"/>
      <c r="F13" s="63"/>
    </row>
    <row r="14" spans="2:9" x14ac:dyDescent="0.25">
      <c r="B14" s="66" t="s">
        <v>83</v>
      </c>
      <c r="C14" s="63">
        <v>-875</v>
      </c>
      <c r="D14" s="63">
        <v>-875</v>
      </c>
      <c r="E14" s="63">
        <v>-875</v>
      </c>
      <c r="F14" s="63">
        <v>-875</v>
      </c>
    </row>
    <row r="15" spans="2:9" x14ac:dyDescent="0.25">
      <c r="B15" s="66" t="s">
        <v>84</v>
      </c>
      <c r="C15" s="63"/>
      <c r="D15" s="63">
        <f>D17*-0.035</f>
        <v>-67375</v>
      </c>
      <c r="E15" s="63">
        <f t="shared" ref="E15:F15" si="0">E17*-0.035</f>
        <v>-33687.5</v>
      </c>
      <c r="F15" s="63">
        <f t="shared" si="0"/>
        <v>-33687.5</v>
      </c>
    </row>
    <row r="16" spans="2:9" x14ac:dyDescent="0.25">
      <c r="B16" s="68" t="s">
        <v>85</v>
      </c>
      <c r="C16" s="20"/>
      <c r="D16" s="20"/>
      <c r="E16" s="20"/>
      <c r="F16" s="20"/>
    </row>
    <row r="17" spans="2:6" x14ac:dyDescent="0.25">
      <c r="B17" s="66" t="s">
        <v>86</v>
      </c>
      <c r="C17" s="63"/>
      <c r="D17" s="63">
        <f>4*C4</f>
        <v>1925000</v>
      </c>
      <c r="E17" s="63">
        <f>2*C4</f>
        <v>962500</v>
      </c>
      <c r="F17" s="63">
        <f>2*C4</f>
        <v>962500</v>
      </c>
    </row>
    <row r="18" spans="2:6" x14ac:dyDescent="0.25">
      <c r="B18" s="66"/>
    </row>
    <row r="19" spans="2:6" x14ac:dyDescent="0.25">
      <c r="B19" s="68" t="s">
        <v>87</v>
      </c>
      <c r="C19" s="69">
        <f>SUM(C8:C17)/(1+$C$3)^C7</f>
        <v>-3264875</v>
      </c>
      <c r="D19" s="69">
        <f>SUM(D8:D17)</f>
        <v>1806750</v>
      </c>
      <c r="E19" s="69">
        <f t="shared" ref="E19:F19" si="1">SUM(E8:E17)</f>
        <v>927937.5</v>
      </c>
      <c r="F19" s="69">
        <f t="shared" si="1"/>
        <v>927937.5</v>
      </c>
    </row>
  </sheetData>
  <mergeCells count="1">
    <mergeCell ref="C6:F6"/>
  </mergeCells>
  <conditionalFormatting sqref="F3">
    <cfRule type="cellIs" dxfId="11" priority="1" operator="greaterThan">
      <formula>0</formula>
    </cfRule>
    <cfRule type="cellIs" dxfId="10" priority="2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23F8-F536-4FFD-AE9E-585205B6163F}">
  <dimension ref="B2:M25"/>
  <sheetViews>
    <sheetView workbookViewId="0">
      <selection activeCell="F4" sqref="F4"/>
    </sheetView>
  </sheetViews>
  <sheetFormatPr defaultRowHeight="15" x14ac:dyDescent="0.25"/>
  <cols>
    <col min="1" max="1" width="2.85546875" customWidth="1"/>
    <col min="2" max="2" width="32.42578125" bestFit="1" customWidth="1"/>
    <col min="3" max="3" width="20.7109375" customWidth="1"/>
    <col min="4" max="4" width="11.140625" bestFit="1" customWidth="1"/>
    <col min="5" max="5" width="32.7109375" bestFit="1" customWidth="1"/>
    <col min="6" max="6" width="15" customWidth="1"/>
    <col min="8" max="8" width="13.5703125" bestFit="1" customWidth="1"/>
    <col min="9" max="9" width="14.28515625" customWidth="1"/>
  </cols>
  <sheetData>
    <row r="2" spans="2:13" ht="15.75" x14ac:dyDescent="0.3">
      <c r="B2" s="11" t="s">
        <v>0</v>
      </c>
      <c r="C2" s="11"/>
      <c r="E2" s="11" t="s">
        <v>69</v>
      </c>
      <c r="F2" s="11"/>
    </row>
    <row r="3" spans="2:13" x14ac:dyDescent="0.25">
      <c r="B3" t="s">
        <v>70</v>
      </c>
      <c r="C3" s="62">
        <v>0.08</v>
      </c>
      <c r="E3" t="s">
        <v>71</v>
      </c>
      <c r="F3" s="20">
        <f>NPV(C3,D19:F19)+C19</f>
        <v>30202.530102118384</v>
      </c>
      <c r="H3" s="84" t="s">
        <v>88</v>
      </c>
      <c r="I3" s="84"/>
      <c r="J3" s="84"/>
      <c r="K3" s="84"/>
      <c r="L3" s="84"/>
      <c r="M3" s="84"/>
    </row>
    <row r="4" spans="2:13" x14ac:dyDescent="0.25">
      <c r="B4" t="s">
        <v>73</v>
      </c>
      <c r="C4" s="63">
        <f>3600000/8</f>
        <v>450000</v>
      </c>
      <c r="E4" t="s">
        <v>74</v>
      </c>
      <c r="F4" s="64">
        <f>IRR(C19:F19)</f>
        <v>8.773196399046812E-2</v>
      </c>
      <c r="H4" s="84"/>
      <c r="I4" s="84"/>
      <c r="J4" s="84"/>
      <c r="K4" s="84"/>
      <c r="L4" s="84"/>
      <c r="M4" s="84"/>
    </row>
    <row r="6" spans="2:13" x14ac:dyDescent="0.25">
      <c r="C6" s="83" t="s">
        <v>75</v>
      </c>
      <c r="D6" s="83"/>
      <c r="E6" s="83"/>
      <c r="F6" s="83"/>
      <c r="H6" t="s">
        <v>89</v>
      </c>
    </row>
    <row r="7" spans="2:13" x14ac:dyDescent="0.25">
      <c r="B7" s="65" t="s">
        <v>76</v>
      </c>
      <c r="C7" s="43">
        <v>0</v>
      </c>
      <c r="D7" s="43">
        <v>1</v>
      </c>
      <c r="E7" s="43">
        <v>2</v>
      </c>
      <c r="F7" s="43">
        <v>3</v>
      </c>
    </row>
    <row r="8" spans="2:13" x14ac:dyDescent="0.25">
      <c r="B8" s="66" t="s">
        <v>77</v>
      </c>
      <c r="C8" s="70">
        <v>-680000</v>
      </c>
      <c r="D8" s="70"/>
      <c r="E8" s="70"/>
      <c r="F8" s="70"/>
      <c r="H8" s="71" t="s">
        <v>90</v>
      </c>
    </row>
    <row r="9" spans="2:13" x14ac:dyDescent="0.25">
      <c r="B9" s="66" t="s">
        <v>78</v>
      </c>
      <c r="C9" s="70">
        <v>-4000</v>
      </c>
      <c r="D9" s="70"/>
      <c r="E9" s="70"/>
      <c r="F9" s="70"/>
      <c r="H9" s="71"/>
    </row>
    <row r="10" spans="2:13" x14ac:dyDescent="0.25">
      <c r="B10" s="66" t="s">
        <v>79</v>
      </c>
      <c r="C10" s="70">
        <v>-300000</v>
      </c>
      <c r="D10" s="70"/>
      <c r="E10" s="70"/>
      <c r="F10" s="70"/>
      <c r="H10" s="71" t="s">
        <v>90</v>
      </c>
    </row>
    <row r="11" spans="2:13" x14ac:dyDescent="0.25">
      <c r="B11" s="66" t="s">
        <v>80</v>
      </c>
      <c r="C11" s="70">
        <v>-2000000</v>
      </c>
      <c r="D11" s="70"/>
      <c r="E11" s="70"/>
      <c r="F11" s="70"/>
      <c r="H11" s="71" t="s">
        <v>90</v>
      </c>
    </row>
    <row r="12" spans="2:13" x14ac:dyDescent="0.25">
      <c r="B12" s="66" t="s">
        <v>81</v>
      </c>
      <c r="C12" s="72"/>
      <c r="D12" s="70">
        <v>-42000</v>
      </c>
      <c r="E12" s="70"/>
      <c r="F12" s="70"/>
      <c r="H12" s="71" t="s">
        <v>90</v>
      </c>
    </row>
    <row r="13" spans="2:13" x14ac:dyDescent="0.25">
      <c r="B13" s="66" t="s">
        <v>82</v>
      </c>
      <c r="C13" s="70">
        <v>-55000</v>
      </c>
      <c r="D13" s="70"/>
      <c r="E13" s="70"/>
      <c r="F13" s="70"/>
      <c r="H13" s="71" t="s">
        <v>90</v>
      </c>
    </row>
    <row r="14" spans="2:13" x14ac:dyDescent="0.25">
      <c r="B14" s="66" t="s">
        <v>83</v>
      </c>
      <c r="C14" s="70">
        <f>-3300/4</f>
        <v>-825</v>
      </c>
      <c r="D14" s="70">
        <f t="shared" ref="D14:F14" si="0">-3300/4</f>
        <v>-825</v>
      </c>
      <c r="E14" s="70">
        <f t="shared" si="0"/>
        <v>-825</v>
      </c>
      <c r="F14" s="70">
        <f t="shared" si="0"/>
        <v>-825</v>
      </c>
      <c r="H14" s="71" t="s">
        <v>90</v>
      </c>
    </row>
    <row r="15" spans="2:13" x14ac:dyDescent="0.25">
      <c r="B15" s="66" t="s">
        <v>84</v>
      </c>
      <c r="C15" s="70"/>
      <c r="D15" s="70">
        <f>(C17+D18)*-0.035</f>
        <v>-63000.000000000007</v>
      </c>
      <c r="E15" s="70"/>
      <c r="F15" s="70">
        <f>(E17+F18)*-0.035</f>
        <v>-63000.000000000007</v>
      </c>
    </row>
    <row r="16" spans="2:13" x14ac:dyDescent="0.25">
      <c r="B16" s="68" t="s">
        <v>85</v>
      </c>
      <c r="C16" s="69"/>
      <c r="D16" s="69"/>
      <c r="E16" s="69"/>
      <c r="F16" s="69"/>
    </row>
    <row r="17" spans="2:6" x14ac:dyDescent="0.25">
      <c r="B17" s="66" t="s">
        <v>91</v>
      </c>
      <c r="C17" s="70">
        <f>C4*4*0.5</f>
        <v>900000</v>
      </c>
      <c r="D17" s="72"/>
      <c r="E17" s="70">
        <f>C4*4*0.5</f>
        <v>900000</v>
      </c>
      <c r="F17" s="72"/>
    </row>
    <row r="18" spans="2:6" x14ac:dyDescent="0.25">
      <c r="B18" s="66" t="s">
        <v>92</v>
      </c>
      <c r="C18" s="72"/>
      <c r="D18" s="70">
        <f>C4*4*0.5</f>
        <v>900000</v>
      </c>
      <c r="E18" s="72"/>
      <c r="F18" s="70">
        <f>C4*4*0.5</f>
        <v>900000</v>
      </c>
    </row>
    <row r="19" spans="2:6" x14ac:dyDescent="0.25">
      <c r="B19" s="68" t="s">
        <v>87</v>
      </c>
      <c r="C19" s="69">
        <f t="shared" ref="C19:D19" si="1">SUM(C8:C18)</f>
        <v>-2139825</v>
      </c>
      <c r="D19" s="69">
        <f t="shared" si="1"/>
        <v>794175</v>
      </c>
      <c r="E19" s="69">
        <f>SUM(E8:E18)</f>
        <v>899175</v>
      </c>
      <c r="F19" s="69">
        <f>SUM(F8:F18)</f>
        <v>836175</v>
      </c>
    </row>
    <row r="22" spans="2:6" ht="15.75" x14ac:dyDescent="0.3">
      <c r="B22" s="11" t="s">
        <v>69</v>
      </c>
      <c r="C22" s="11"/>
    </row>
    <row r="23" spans="2:6" x14ac:dyDescent="0.25">
      <c r="B23" t="s">
        <v>47</v>
      </c>
      <c r="C23" s="64">
        <f>D19/SUM(C8:C15)*-1</f>
        <v>0.26125681577064469</v>
      </c>
      <c r="E23" s="64"/>
    </row>
    <row r="25" spans="2:6" x14ac:dyDescent="0.25">
      <c r="E25" s="64"/>
    </row>
  </sheetData>
  <mergeCells count="2">
    <mergeCell ref="H3:M4"/>
    <mergeCell ref="C6:F6"/>
  </mergeCells>
  <conditionalFormatting sqref="F3">
    <cfRule type="cellIs" dxfId="9" priority="1" operator="greaterThan">
      <formula>0</formula>
    </cfRule>
    <cfRule type="cellIs" dxfId="8" priority="2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31AB-8646-49D6-A5B0-32820BCBD89F}">
  <dimension ref="A1:U51"/>
  <sheetViews>
    <sheetView showGridLines="0" zoomScaleNormal="100" workbookViewId="0">
      <selection activeCell="L22" sqref="L22"/>
    </sheetView>
  </sheetViews>
  <sheetFormatPr defaultRowHeight="15" x14ac:dyDescent="0.25"/>
  <cols>
    <col min="1" max="1" width="2.85546875" customWidth="1"/>
    <col min="2" max="2" width="40.28515625" bestFit="1" customWidth="1"/>
    <col min="3" max="6" width="13.7109375" customWidth="1"/>
    <col min="7" max="7" width="17.42578125" customWidth="1"/>
    <col min="8" max="8" width="14.28515625" bestFit="1" customWidth="1"/>
    <col min="9" max="11" width="13.7109375" customWidth="1"/>
    <col min="12" max="12" width="18.28515625" bestFit="1" customWidth="1"/>
    <col min="13" max="14" width="13.7109375" customWidth="1"/>
    <col min="15" max="15" width="11" bestFit="1" customWidth="1"/>
    <col min="19" max="19" width="31.7109375" bestFit="1" customWidth="1"/>
    <col min="20" max="20" width="17.5703125" bestFit="1" customWidth="1"/>
    <col min="21" max="21" width="12.85546875" bestFit="1" customWidth="1"/>
    <col min="23" max="23" width="17.5703125" bestFit="1" customWidth="1"/>
  </cols>
  <sheetData>
    <row r="1" spans="2:21" x14ac:dyDescent="0.25">
      <c r="B1" s="2"/>
    </row>
    <row r="2" spans="2:21" ht="15.75" x14ac:dyDescent="0.3">
      <c r="B2" s="11" t="s">
        <v>0</v>
      </c>
      <c r="C2" s="11"/>
      <c r="D2" s="11"/>
      <c r="F2" s="11" t="s">
        <v>0</v>
      </c>
      <c r="G2" s="11"/>
      <c r="H2" s="11"/>
      <c r="J2" s="11" t="s">
        <v>24</v>
      </c>
      <c r="K2" s="11"/>
      <c r="M2" s="11" t="s">
        <v>98</v>
      </c>
    </row>
    <row r="3" spans="2:21" ht="15.75" x14ac:dyDescent="0.3">
      <c r="B3" t="s">
        <v>44</v>
      </c>
      <c r="D3" s="41">
        <v>0.12</v>
      </c>
      <c r="F3" t="s">
        <v>10</v>
      </c>
      <c r="H3" s="45">
        <v>3500000</v>
      </c>
      <c r="J3" s="5" t="s">
        <v>54</v>
      </c>
      <c r="K3" s="5">
        <f>NPV(D3,D30:I30)+C30</f>
        <v>-483870.26323984843</v>
      </c>
      <c r="M3" s="80">
        <f>NPV(D3,D30:I30)</f>
        <v>3016129.7367601516</v>
      </c>
    </row>
    <row r="4" spans="2:21" ht="15.75" x14ac:dyDescent="0.3">
      <c r="B4" t="s">
        <v>101</v>
      </c>
      <c r="D4" s="41">
        <f>J9</f>
        <v>1.9999999999999796E-2</v>
      </c>
      <c r="J4" s="4" t="s">
        <v>55</v>
      </c>
      <c r="K4" s="47">
        <f>IRR(C30:I30)</f>
        <v>8.6920748594499386E-2</v>
      </c>
    </row>
    <row r="5" spans="2:21" ht="15.75" x14ac:dyDescent="0.3">
      <c r="F5" t="s">
        <v>8</v>
      </c>
      <c r="H5" s="43">
        <v>8</v>
      </c>
      <c r="J5" t="s">
        <v>47</v>
      </c>
      <c r="K5" s="32">
        <f>D27/-C16</f>
        <v>6.9187499999999985E-2</v>
      </c>
    </row>
    <row r="6" spans="2:21" x14ac:dyDescent="0.25">
      <c r="J6" t="s">
        <v>96</v>
      </c>
    </row>
    <row r="7" spans="2:21" x14ac:dyDescent="0.25">
      <c r="B7" t="s">
        <v>4</v>
      </c>
      <c r="D7" s="43"/>
      <c r="F7" t="s">
        <v>13</v>
      </c>
      <c r="H7" s="45">
        <v>25</v>
      </c>
    </row>
    <row r="8" spans="2:21" ht="15.75" x14ac:dyDescent="0.3">
      <c r="B8" t="s">
        <v>5</v>
      </c>
      <c r="D8" s="43"/>
      <c r="F8" t="s">
        <v>45</v>
      </c>
      <c r="H8" s="42">
        <v>2.5000000000000001E-2</v>
      </c>
      <c r="J8" s="85" t="s">
        <v>100</v>
      </c>
      <c r="K8" s="85"/>
      <c r="L8" s="85"/>
      <c r="M8" s="85"/>
    </row>
    <row r="9" spans="2:21" ht="15.75" x14ac:dyDescent="0.3">
      <c r="B9" t="s">
        <v>11</v>
      </c>
      <c r="D9" s="43">
        <v>1500</v>
      </c>
      <c r="F9" t="s">
        <v>15</v>
      </c>
      <c r="H9" s="45"/>
      <c r="J9" s="73">
        <f>(J23/I23)-1</f>
        <v>1.9999999999999796E-2</v>
      </c>
    </row>
    <row r="10" spans="2:21" x14ac:dyDescent="0.25">
      <c r="B10" t="s">
        <v>9</v>
      </c>
      <c r="D10" s="42"/>
      <c r="F10" t="s">
        <v>48</v>
      </c>
      <c r="H10" s="42"/>
      <c r="J10" s="3"/>
    </row>
    <row r="11" spans="2:21" ht="15.75" x14ac:dyDescent="0.3">
      <c r="B11" t="s">
        <v>6</v>
      </c>
      <c r="D11" s="44"/>
      <c r="F11" t="s">
        <v>22</v>
      </c>
      <c r="H11" s="45"/>
      <c r="J11" s="85" t="s">
        <v>56</v>
      </c>
      <c r="K11" s="85"/>
      <c r="L11" s="85"/>
      <c r="M11" s="85"/>
      <c r="U11" s="15"/>
    </row>
    <row r="12" spans="2:21" x14ac:dyDescent="0.25">
      <c r="B12" t="s">
        <v>7</v>
      </c>
      <c r="D12" s="44"/>
      <c r="F12" t="s">
        <v>32</v>
      </c>
      <c r="H12" s="42"/>
      <c r="J12" s="74">
        <f>J27/(D3-D4)</f>
        <v>3539790.2050821073</v>
      </c>
      <c r="U12" s="3"/>
    </row>
    <row r="13" spans="2:21" x14ac:dyDescent="0.25">
      <c r="M13" s="7"/>
      <c r="S13" s="7"/>
    </row>
    <row r="14" spans="2:21" ht="15.75" x14ac:dyDescent="0.3">
      <c r="C14" s="55" t="s">
        <v>2</v>
      </c>
      <c r="D14" s="88" t="s">
        <v>49</v>
      </c>
      <c r="E14" s="89"/>
      <c r="F14" s="89"/>
      <c r="G14" s="89"/>
      <c r="H14" s="89"/>
      <c r="I14" s="90"/>
      <c r="J14" s="31" t="s">
        <v>23</v>
      </c>
      <c r="M14" s="7"/>
      <c r="Q14" s="7"/>
    </row>
    <row r="15" spans="2:21" ht="15.75" x14ac:dyDescent="0.3">
      <c r="B15" s="18" t="s">
        <v>1</v>
      </c>
      <c r="C15" s="56">
        <v>0</v>
      </c>
      <c r="D15" s="56">
        <v>1</v>
      </c>
      <c r="E15" s="56">
        <v>2</v>
      </c>
      <c r="F15" s="56">
        <v>3</v>
      </c>
      <c r="G15" s="56">
        <v>4</v>
      </c>
      <c r="H15" s="56">
        <v>5</v>
      </c>
      <c r="I15" s="56">
        <v>6</v>
      </c>
      <c r="J15" s="24">
        <v>7</v>
      </c>
      <c r="M15" s="7"/>
    </row>
    <row r="16" spans="2:21" ht="15.75" x14ac:dyDescent="0.3">
      <c r="B16" s="6" t="s">
        <v>10</v>
      </c>
      <c r="C16" s="20">
        <f>-H3</f>
        <v>-3500000</v>
      </c>
      <c r="D16" s="21"/>
      <c r="E16" s="12"/>
      <c r="F16" s="12"/>
      <c r="G16" s="12"/>
      <c r="H16" s="12"/>
      <c r="I16" s="12"/>
      <c r="J16" s="25"/>
      <c r="M16" s="7"/>
    </row>
    <row r="17" spans="1:21" ht="15.75" x14ac:dyDescent="0.3">
      <c r="B17" s="6" t="s">
        <v>13</v>
      </c>
      <c r="C17" s="21">
        <v>25</v>
      </c>
      <c r="D17" s="16">
        <f>C17*(1+$H$8)</f>
        <v>25.624999999999996</v>
      </c>
      <c r="E17" s="16">
        <f t="shared" ref="E17:I17" si="0">D17*(1+$H$8)</f>
        <v>26.265624999999993</v>
      </c>
      <c r="F17" s="16">
        <f t="shared" si="0"/>
        <v>26.922265624999991</v>
      </c>
      <c r="G17" s="16">
        <f t="shared" si="0"/>
        <v>27.59532226562499</v>
      </c>
      <c r="H17" s="16">
        <f t="shared" si="0"/>
        <v>28.285205322265611</v>
      </c>
      <c r="I17" s="16">
        <f t="shared" si="0"/>
        <v>28.992335455322248</v>
      </c>
      <c r="J17" s="26">
        <f>I17*(1+0.02)</f>
        <v>29.572182164428693</v>
      </c>
      <c r="M17" s="7"/>
    </row>
    <row r="18" spans="1:21" ht="15.75" x14ac:dyDescent="0.3">
      <c r="B18" s="58" t="s">
        <v>12</v>
      </c>
      <c r="C18" s="23">
        <f>C16</f>
        <v>-3500000</v>
      </c>
      <c r="D18" s="23">
        <f>($D$9*D17)*12</f>
        <v>461249.99999999988</v>
      </c>
      <c r="E18" s="23">
        <f t="shared" ref="E18:J18" si="1">$D$9*E17*12</f>
        <v>472781.24999999988</v>
      </c>
      <c r="F18" s="23">
        <f t="shared" si="1"/>
        <v>484600.78124999983</v>
      </c>
      <c r="G18" s="23">
        <f t="shared" si="1"/>
        <v>496715.80078124983</v>
      </c>
      <c r="H18" s="23">
        <f t="shared" si="1"/>
        <v>509133.69580078102</v>
      </c>
      <c r="I18" s="23">
        <f t="shared" si="1"/>
        <v>521862.0381958005</v>
      </c>
      <c r="J18" s="27">
        <f t="shared" si="1"/>
        <v>532299.27895971644</v>
      </c>
      <c r="M18" s="7"/>
    </row>
    <row r="19" spans="1:21" ht="15.75" x14ac:dyDescent="0.3">
      <c r="B19" s="54" t="s">
        <v>97</v>
      </c>
      <c r="C19" s="23"/>
      <c r="D19" s="75">
        <v>0.25</v>
      </c>
      <c r="E19" s="75">
        <v>0.1</v>
      </c>
      <c r="F19" s="75">
        <v>0.05</v>
      </c>
      <c r="G19" s="75">
        <v>0.05</v>
      </c>
      <c r="H19" s="75">
        <v>0.05</v>
      </c>
      <c r="I19" s="75">
        <v>0.05</v>
      </c>
      <c r="J19" s="76">
        <v>0.05</v>
      </c>
      <c r="M19" s="7"/>
    </row>
    <row r="20" spans="1:21" ht="15.75" x14ac:dyDescent="0.3">
      <c r="B20" s="54" t="s">
        <v>93</v>
      </c>
      <c r="C20" s="21"/>
      <c r="D20" s="21">
        <f>D18*-D19</f>
        <v>-115312.49999999997</v>
      </c>
      <c r="E20" s="21">
        <f t="shared" ref="E20:J20" si="2">E18*-E19</f>
        <v>-47278.124999999993</v>
      </c>
      <c r="F20" s="21">
        <f t="shared" si="2"/>
        <v>-24230.039062499993</v>
      </c>
      <c r="G20" s="21">
        <f t="shared" si="2"/>
        <v>-24835.790039062493</v>
      </c>
      <c r="H20" s="21">
        <f t="shared" si="2"/>
        <v>-25456.684790039053</v>
      </c>
      <c r="I20" s="21">
        <f t="shared" si="2"/>
        <v>-26093.101909790028</v>
      </c>
      <c r="J20" s="28">
        <f t="shared" si="2"/>
        <v>-26614.963947985823</v>
      </c>
      <c r="M20" s="7"/>
    </row>
    <row r="21" spans="1:21" ht="15.75" x14ac:dyDescent="0.3">
      <c r="B21" s="58" t="s">
        <v>14</v>
      </c>
      <c r="C21" s="23">
        <f>C18+C20</f>
        <v>-3500000</v>
      </c>
      <c r="D21" s="23">
        <f>D18+D20</f>
        <v>345937.49999999988</v>
      </c>
      <c r="E21" s="23">
        <f>E18+E20</f>
        <v>425503.12499999988</v>
      </c>
      <c r="F21" s="23">
        <f t="shared" ref="F21:I21" si="3">F18+F20</f>
        <v>460370.74218749983</v>
      </c>
      <c r="G21" s="23">
        <f t="shared" si="3"/>
        <v>471880.01074218733</v>
      </c>
      <c r="H21" s="23">
        <f t="shared" si="3"/>
        <v>483677.01101074199</v>
      </c>
      <c r="I21" s="23">
        <f t="shared" si="3"/>
        <v>495768.93628601049</v>
      </c>
      <c r="J21" s="27">
        <f>J18+J20</f>
        <v>505684.31501173059</v>
      </c>
    </row>
    <row r="22" spans="1:21" ht="15.75" x14ac:dyDescent="0.3">
      <c r="B22" s="17" t="s">
        <v>15</v>
      </c>
      <c r="C22" s="21"/>
      <c r="D22" s="21"/>
      <c r="E22" s="16"/>
      <c r="F22" s="16"/>
      <c r="G22" s="16"/>
      <c r="H22" s="16"/>
      <c r="I22" s="16"/>
      <c r="J22" s="26"/>
      <c r="Q22" s="4"/>
      <c r="U22" s="15"/>
    </row>
    <row r="23" spans="1:21" ht="15.75" x14ac:dyDescent="0.3">
      <c r="B23" s="48" t="s">
        <v>16</v>
      </c>
      <c r="C23" s="51">
        <f>C21+C22</f>
        <v>-3500000</v>
      </c>
      <c r="D23" s="51">
        <f>D21+D22</f>
        <v>345937.49999999988</v>
      </c>
      <c r="E23" s="51">
        <f t="shared" ref="E23:J23" si="4">E21+E22</f>
        <v>425503.12499999988</v>
      </c>
      <c r="F23" s="51">
        <f t="shared" si="4"/>
        <v>460370.74218749983</v>
      </c>
      <c r="G23" s="51">
        <f t="shared" si="4"/>
        <v>471880.01074218733</v>
      </c>
      <c r="H23" s="51">
        <f t="shared" si="4"/>
        <v>483677.01101074199</v>
      </c>
      <c r="I23" s="51">
        <f t="shared" si="4"/>
        <v>495768.93628601049</v>
      </c>
      <c r="J23" s="77">
        <f t="shared" si="4"/>
        <v>505684.31501173059</v>
      </c>
      <c r="U23" s="1"/>
    </row>
    <row r="24" spans="1:21" ht="15.75" customHeight="1" x14ac:dyDescent="0.3">
      <c r="B24" s="6" t="s">
        <v>22</v>
      </c>
      <c r="C24" s="21"/>
      <c r="D24" s="21">
        <f>-(H11*D7)</f>
        <v>0</v>
      </c>
      <c r="E24" s="19">
        <f>D24*(1+$H$12)</f>
        <v>0</v>
      </c>
      <c r="F24" s="19">
        <f t="shared" ref="F24:I24" si="5">E24*(1+$H$12)</f>
        <v>0</v>
      </c>
      <c r="G24" s="19">
        <f t="shared" si="5"/>
        <v>0</v>
      </c>
      <c r="H24" s="19">
        <f t="shared" si="5"/>
        <v>0</v>
      </c>
      <c r="I24" s="19">
        <f t="shared" si="5"/>
        <v>0</v>
      </c>
      <c r="J24" s="29">
        <f>K24*(1+$H$12)</f>
        <v>0</v>
      </c>
    </row>
    <row r="25" spans="1:21" ht="15.75" customHeight="1" x14ac:dyDescent="0.3">
      <c r="B25" s="6" t="s">
        <v>17</v>
      </c>
      <c r="C25" s="7"/>
      <c r="D25" s="7"/>
      <c r="E25" s="7"/>
      <c r="F25" s="7"/>
      <c r="G25" s="7"/>
      <c r="H25" s="7"/>
      <c r="I25" s="7"/>
      <c r="J25" s="30"/>
      <c r="U25" s="15"/>
    </row>
    <row r="26" spans="1:21" ht="15.75" x14ac:dyDescent="0.3">
      <c r="A26" s="86"/>
      <c r="B26" s="57" t="s">
        <v>19</v>
      </c>
      <c r="C26" s="23"/>
      <c r="D26" s="23">
        <f>-0.3*D21</f>
        <v>-103781.24999999996</v>
      </c>
      <c r="E26" s="23">
        <f t="shared" ref="E26:J26" si="6">-0.3*E21</f>
        <v>-127650.93749999996</v>
      </c>
      <c r="F26" s="23">
        <f t="shared" si="6"/>
        <v>-138111.22265624994</v>
      </c>
      <c r="G26" s="23">
        <f t="shared" si="6"/>
        <v>-141564.0032226562</v>
      </c>
      <c r="H26" s="23">
        <f t="shared" si="6"/>
        <v>-145103.1033032226</v>
      </c>
      <c r="I26" s="23">
        <f t="shared" si="6"/>
        <v>-148730.68088580313</v>
      </c>
      <c r="J26" s="27">
        <f t="shared" si="6"/>
        <v>-151705.29450351917</v>
      </c>
      <c r="U26" s="15"/>
    </row>
    <row r="27" spans="1:21" ht="15.75" x14ac:dyDescent="0.3">
      <c r="A27" s="86"/>
      <c r="B27" s="50" t="s">
        <v>51</v>
      </c>
      <c r="C27" s="51">
        <f t="shared" ref="C27:I27" si="7">C23+C26</f>
        <v>-3500000</v>
      </c>
      <c r="D27" s="51">
        <f>D23+D26</f>
        <v>242156.24999999994</v>
      </c>
      <c r="E27" s="51">
        <f t="shared" si="7"/>
        <v>297852.18749999994</v>
      </c>
      <c r="F27" s="51">
        <f t="shared" si="7"/>
        <v>322259.51953124988</v>
      </c>
      <c r="G27" s="79">
        <f t="shared" si="7"/>
        <v>330316.00751953112</v>
      </c>
      <c r="H27" s="51">
        <f t="shared" si="7"/>
        <v>338573.90770751936</v>
      </c>
      <c r="I27" s="51">
        <f t="shared" si="7"/>
        <v>347038.25540020736</v>
      </c>
      <c r="J27" s="27">
        <f t="shared" ref="J27" si="8">J23+J26</f>
        <v>353979.02050821146</v>
      </c>
    </row>
    <row r="28" spans="1:21" ht="15.75" x14ac:dyDescent="0.3">
      <c r="A28" s="86"/>
      <c r="B28" s="22" t="s">
        <v>94</v>
      </c>
      <c r="C28" s="7"/>
      <c r="D28" s="21"/>
      <c r="E28" s="21"/>
      <c r="F28" s="21">
        <f>-(D11*D7)</f>
        <v>0</v>
      </c>
      <c r="G28" s="16">
        <v>-60000</v>
      </c>
      <c r="H28" s="21">
        <f>-D12</f>
        <v>0</v>
      </c>
      <c r="I28" s="21"/>
      <c r="J28" s="7"/>
      <c r="K28" s="7"/>
      <c r="L28" s="7"/>
    </row>
    <row r="29" spans="1:21" ht="15.75" x14ac:dyDescent="0.3">
      <c r="A29" s="86"/>
      <c r="B29" s="22" t="s">
        <v>95</v>
      </c>
      <c r="C29" s="7"/>
      <c r="D29" s="21"/>
      <c r="E29" s="21"/>
      <c r="G29" s="21"/>
      <c r="I29" s="60">
        <f>J12</f>
        <v>3539790.2050821073</v>
      </c>
      <c r="J29" s="7"/>
      <c r="K29" s="7"/>
      <c r="L29" s="7"/>
    </row>
    <row r="30" spans="1:21" ht="15.75" x14ac:dyDescent="0.3">
      <c r="A30" s="86"/>
      <c r="B30" s="50" t="s">
        <v>53</v>
      </c>
      <c r="C30" s="52">
        <f>SUM(C27:C29)</f>
        <v>-3500000</v>
      </c>
      <c r="D30" s="52">
        <f t="shared" ref="D30:H30" si="9">SUM(D27:D29)</f>
        <v>242156.24999999994</v>
      </c>
      <c r="E30" s="52">
        <f t="shared" si="9"/>
        <v>297852.18749999994</v>
      </c>
      <c r="F30" s="52">
        <f t="shared" si="9"/>
        <v>322259.51953124988</v>
      </c>
      <c r="G30" s="78">
        <f>SUM(G27:G29)</f>
        <v>270316.00751953112</v>
      </c>
      <c r="H30" s="52">
        <f t="shared" si="9"/>
        <v>338573.90770751936</v>
      </c>
      <c r="I30" s="52">
        <f>SUM(I27:I29)</f>
        <v>3886828.4604823147</v>
      </c>
      <c r="J30" s="7"/>
      <c r="K30" s="7"/>
      <c r="L30" s="7"/>
    </row>
    <row r="32" spans="1:21" x14ac:dyDescent="0.25">
      <c r="L32" s="7"/>
    </row>
    <row r="33" spans="2:12" x14ac:dyDescent="0.25">
      <c r="L33" s="7"/>
    </row>
    <row r="40" spans="2:12" x14ac:dyDescent="0.25">
      <c r="B40" t="s">
        <v>36</v>
      </c>
    </row>
    <row r="41" spans="2:12" x14ac:dyDescent="0.25">
      <c r="B41" t="s">
        <v>35</v>
      </c>
    </row>
    <row r="42" spans="2:12" x14ac:dyDescent="0.25">
      <c r="B42" t="s">
        <v>34</v>
      </c>
    </row>
    <row r="44" spans="2:12" ht="15.75" x14ac:dyDescent="0.3">
      <c r="B44" s="85" t="s">
        <v>3</v>
      </c>
      <c r="C44" s="85"/>
      <c r="D44" s="85"/>
      <c r="E44" s="85"/>
      <c r="F44" s="85"/>
      <c r="G44" s="85"/>
      <c r="H44" s="85"/>
    </row>
    <row r="45" spans="2:12" ht="15.75" x14ac:dyDescent="0.25">
      <c r="C45" s="33"/>
      <c r="D45" s="33"/>
      <c r="E45" s="33"/>
      <c r="F45" s="34" t="s">
        <v>31</v>
      </c>
      <c r="G45" s="33"/>
      <c r="H45" s="33"/>
    </row>
    <row r="46" spans="2:12" ht="15.75" x14ac:dyDescent="0.3">
      <c r="B46" s="87" t="s">
        <v>46</v>
      </c>
      <c r="C46" s="35">
        <f>K3</f>
        <v>-483870.26323984843</v>
      </c>
      <c r="D46" s="36">
        <v>1.4999999999999999E-2</v>
      </c>
      <c r="E46" s="36">
        <v>0.02</v>
      </c>
      <c r="F46" s="36">
        <v>2.5000000000000001E-2</v>
      </c>
      <c r="G46" s="36">
        <v>0.03</v>
      </c>
      <c r="H46" s="36">
        <v>3.5000000000000003E-2</v>
      </c>
    </row>
    <row r="47" spans="2:12" ht="15.75" x14ac:dyDescent="0.3">
      <c r="B47" s="87"/>
      <c r="C47" s="39">
        <v>0.10299999999999999</v>
      </c>
      <c r="D47" s="8">
        <f t="dataTable" ref="D47:H51" dt2D="1" dtr="1" r1="H8" r2="D10"/>
        <v>-626996.14451256115</v>
      </c>
      <c r="E47" s="8">
        <v>-556219.14274000423</v>
      </c>
      <c r="F47" s="8">
        <v>-483870.26323984843</v>
      </c>
      <c r="G47" s="8">
        <v>-409920.20232407469</v>
      </c>
      <c r="H47" s="37">
        <v>-334339.2389981118</v>
      </c>
    </row>
    <row r="48" spans="2:12" ht="15.75" x14ac:dyDescent="0.3">
      <c r="B48" s="87"/>
      <c r="C48" s="39">
        <v>9.2999999999999999E-2</v>
      </c>
      <c r="D48" s="8">
        <v>-626996.14451256115</v>
      </c>
      <c r="E48" s="13">
        <v>-556219.14274000423</v>
      </c>
      <c r="F48" s="13">
        <v>-483870.26323984843</v>
      </c>
      <c r="G48" s="13">
        <v>-409920.20232407469</v>
      </c>
      <c r="H48" s="8">
        <v>-334339.2389981118</v>
      </c>
    </row>
    <row r="49" spans="2:8" ht="15.75" x14ac:dyDescent="0.3">
      <c r="B49" s="87"/>
      <c r="C49" s="39">
        <v>8.3000000000000004E-2</v>
      </c>
      <c r="D49" s="8">
        <v>-626996.14451256115</v>
      </c>
      <c r="E49" s="13">
        <v>-556219.14274000423</v>
      </c>
      <c r="F49" s="14">
        <v>-483870.26323984843</v>
      </c>
      <c r="G49" s="13">
        <v>-409920.20232407469</v>
      </c>
      <c r="H49" s="8">
        <v>-334339.2389981118</v>
      </c>
    </row>
    <row r="50" spans="2:8" ht="15.75" x14ac:dyDescent="0.3">
      <c r="B50" s="87"/>
      <c r="C50" s="39">
        <v>7.2999999999999995E-2</v>
      </c>
      <c r="D50" s="8">
        <v>-626996.14451256115</v>
      </c>
      <c r="E50" s="13">
        <v>-556219.14274000423</v>
      </c>
      <c r="F50" s="13">
        <v>-483870.26323984843</v>
      </c>
      <c r="G50" s="13">
        <v>-409920.20232407469</v>
      </c>
      <c r="H50" s="8">
        <v>-334339.2389981118</v>
      </c>
    </row>
    <row r="51" spans="2:8" ht="15.75" x14ac:dyDescent="0.3">
      <c r="C51" s="39">
        <v>6.3E-2</v>
      </c>
      <c r="D51" s="38">
        <v>-626996.14451256115</v>
      </c>
      <c r="E51" s="8">
        <v>-556219.14274000423</v>
      </c>
      <c r="F51" s="8">
        <v>-483870.26323984843</v>
      </c>
      <c r="G51" s="8">
        <v>-409920.20232407469</v>
      </c>
      <c r="H51" s="8">
        <v>-334339.2389981118</v>
      </c>
    </row>
  </sheetData>
  <mergeCells count="6">
    <mergeCell ref="J8:M8"/>
    <mergeCell ref="A26:A30"/>
    <mergeCell ref="B44:H44"/>
    <mergeCell ref="B46:B50"/>
    <mergeCell ref="D14:I14"/>
    <mergeCell ref="J11:M11"/>
  </mergeCells>
  <conditionalFormatting sqref="K3">
    <cfRule type="cellIs" dxfId="7" priority="1" operator="lessThan">
      <formula>0</formula>
    </cfRule>
    <cfRule type="cellIs" dxfId="6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51B2-3276-4973-8DAC-833900A34891}">
  <dimension ref="A1:U50"/>
  <sheetViews>
    <sheetView showGridLines="0" zoomScaleNormal="100" workbookViewId="0">
      <selection activeCell="H31" sqref="H31"/>
    </sheetView>
  </sheetViews>
  <sheetFormatPr defaultRowHeight="15" x14ac:dyDescent="0.25"/>
  <cols>
    <col min="1" max="1" width="2.85546875" customWidth="1"/>
    <col min="2" max="2" width="40.28515625" bestFit="1" customWidth="1"/>
    <col min="3" max="6" width="13.7109375" customWidth="1"/>
    <col min="7" max="7" width="17.42578125" customWidth="1"/>
    <col min="8" max="8" width="14.28515625" bestFit="1" customWidth="1"/>
    <col min="9" max="11" width="13.7109375" customWidth="1"/>
    <col min="12" max="12" width="18.28515625" bestFit="1" customWidth="1"/>
    <col min="13" max="14" width="13.7109375" customWidth="1"/>
    <col min="15" max="15" width="11" bestFit="1" customWidth="1"/>
    <col min="19" max="19" width="31.7109375" bestFit="1" customWidth="1"/>
    <col min="20" max="20" width="17.5703125" bestFit="1" customWidth="1"/>
    <col min="21" max="21" width="12.85546875" bestFit="1" customWidth="1"/>
    <col min="23" max="23" width="17.5703125" bestFit="1" customWidth="1"/>
  </cols>
  <sheetData>
    <row r="1" spans="2:21" x14ac:dyDescent="0.25">
      <c r="B1" s="2"/>
    </row>
    <row r="2" spans="2:21" ht="15.75" x14ac:dyDescent="0.3">
      <c r="B2" s="11" t="s">
        <v>0</v>
      </c>
      <c r="C2" s="11"/>
      <c r="D2" s="11"/>
      <c r="F2" s="11" t="s">
        <v>0</v>
      </c>
      <c r="G2" s="11"/>
      <c r="H2" s="11"/>
      <c r="J2" s="11" t="s">
        <v>24</v>
      </c>
      <c r="K2" s="11"/>
    </row>
    <row r="3" spans="2:21" x14ac:dyDescent="0.25">
      <c r="B3" t="s">
        <v>44</v>
      </c>
      <c r="D3" s="41">
        <v>0.08</v>
      </c>
      <c r="F3" t="s">
        <v>10</v>
      </c>
      <c r="H3" s="45">
        <v>170000</v>
      </c>
      <c r="J3" t="s">
        <v>67</v>
      </c>
      <c r="K3" s="80">
        <f>NPV(D3,D29:K29)</f>
        <v>127913.14736356164</v>
      </c>
    </row>
    <row r="4" spans="2:21" ht="15.75" x14ac:dyDescent="0.3">
      <c r="B4" t="s">
        <v>50</v>
      </c>
      <c r="D4" s="41">
        <v>2.4799999999999999E-2</v>
      </c>
      <c r="J4" s="5" t="s">
        <v>54</v>
      </c>
      <c r="K4" s="5">
        <f>NPV(D3,D29:K29)+C29</f>
        <v>-42086.852636438358</v>
      </c>
    </row>
    <row r="5" spans="2:21" ht="15.75" x14ac:dyDescent="0.3">
      <c r="F5" t="s">
        <v>8</v>
      </c>
      <c r="H5" s="43">
        <v>8</v>
      </c>
      <c r="J5" s="4" t="s">
        <v>55</v>
      </c>
      <c r="K5" s="32">
        <f>IRR(C29:K29)</f>
        <v>3.5609508252113953E-2</v>
      </c>
    </row>
    <row r="6" spans="2:21" ht="15.75" x14ac:dyDescent="0.3">
      <c r="F6" t="s">
        <v>99</v>
      </c>
      <c r="H6" s="45">
        <v>700</v>
      </c>
      <c r="J6" t="s">
        <v>47</v>
      </c>
      <c r="K6" s="32">
        <f>D26/-C16</f>
        <v>4.2941176470588233E-2</v>
      </c>
    </row>
    <row r="7" spans="2:21" x14ac:dyDescent="0.25">
      <c r="B7" t="s">
        <v>4</v>
      </c>
      <c r="D7" s="43">
        <v>1</v>
      </c>
      <c r="F7" t="s">
        <v>13</v>
      </c>
      <c r="H7" s="45">
        <f>H6/D8</f>
        <v>14</v>
      </c>
    </row>
    <row r="8" spans="2:21" x14ac:dyDescent="0.25">
      <c r="B8" t="s">
        <v>5</v>
      </c>
      <c r="D8" s="43">
        <v>50</v>
      </c>
      <c r="F8" t="s">
        <v>45</v>
      </c>
      <c r="H8" s="42">
        <v>0.02</v>
      </c>
    </row>
    <row r="9" spans="2:21" x14ac:dyDescent="0.25">
      <c r="B9" t="s">
        <v>11</v>
      </c>
      <c r="D9" s="43">
        <f>D7*D8</f>
        <v>50</v>
      </c>
      <c r="F9" t="s">
        <v>15</v>
      </c>
      <c r="H9" s="45">
        <v>0</v>
      </c>
    </row>
    <row r="10" spans="2:21" x14ac:dyDescent="0.25">
      <c r="B10" t="s">
        <v>9</v>
      </c>
      <c r="D10" s="42">
        <f>2/(2*12)</f>
        <v>8.3333333333333329E-2</v>
      </c>
      <c r="F10" t="s">
        <v>48</v>
      </c>
      <c r="H10" s="42">
        <v>0</v>
      </c>
    </row>
    <row r="11" spans="2:21" x14ac:dyDescent="0.25">
      <c r="B11" t="s">
        <v>6</v>
      </c>
      <c r="D11" s="44">
        <v>0</v>
      </c>
      <c r="F11" t="s">
        <v>22</v>
      </c>
      <c r="H11" s="45">
        <v>400</v>
      </c>
      <c r="U11" s="15"/>
    </row>
    <row r="12" spans="2:21" x14ac:dyDescent="0.25">
      <c r="B12" t="s">
        <v>7</v>
      </c>
      <c r="D12" s="44">
        <v>0</v>
      </c>
      <c r="F12" t="s">
        <v>32</v>
      </c>
      <c r="H12" s="42">
        <v>0.03</v>
      </c>
      <c r="U12" s="3"/>
    </row>
    <row r="13" spans="2:21" x14ac:dyDescent="0.25">
      <c r="M13" s="7"/>
      <c r="S13" s="7"/>
    </row>
    <row r="14" spans="2:21" ht="15.75" x14ac:dyDescent="0.3">
      <c r="C14" s="55" t="s">
        <v>2</v>
      </c>
      <c r="D14" s="91" t="s">
        <v>49</v>
      </c>
      <c r="E14" s="91"/>
      <c r="F14" s="91"/>
      <c r="G14" s="91"/>
      <c r="H14" s="91"/>
      <c r="I14" s="91"/>
      <c r="J14" s="91"/>
      <c r="K14" s="91"/>
      <c r="L14" s="31" t="s">
        <v>23</v>
      </c>
      <c r="M14" s="7"/>
      <c r="Q14" s="7"/>
    </row>
    <row r="15" spans="2:21" ht="15.75" x14ac:dyDescent="0.3">
      <c r="B15" s="18" t="s">
        <v>1</v>
      </c>
      <c r="C15" s="56">
        <v>0</v>
      </c>
      <c r="D15" s="56">
        <v>1</v>
      </c>
      <c r="E15" s="56">
        <v>2</v>
      </c>
      <c r="F15" s="56">
        <v>3</v>
      </c>
      <c r="G15" s="56">
        <v>4</v>
      </c>
      <c r="H15" s="56">
        <v>5</v>
      </c>
      <c r="I15" s="56">
        <v>6</v>
      </c>
      <c r="J15" s="56">
        <v>7</v>
      </c>
      <c r="K15" s="56">
        <v>8</v>
      </c>
      <c r="L15" s="24">
        <v>9</v>
      </c>
      <c r="M15" s="7"/>
    </row>
    <row r="16" spans="2:21" ht="15.75" x14ac:dyDescent="0.3">
      <c r="B16" s="6" t="s">
        <v>10</v>
      </c>
      <c r="C16" s="20">
        <f>-H3</f>
        <v>-170000</v>
      </c>
      <c r="D16" s="21"/>
      <c r="E16" s="12"/>
      <c r="F16" s="12"/>
      <c r="G16" s="12"/>
      <c r="H16" s="12"/>
      <c r="I16" s="12"/>
      <c r="J16" s="12"/>
      <c r="K16" s="12"/>
      <c r="L16" s="25"/>
      <c r="M16" s="7"/>
    </row>
    <row r="17" spans="1:21" ht="15.75" x14ac:dyDescent="0.3">
      <c r="B17" s="6" t="s">
        <v>13</v>
      </c>
      <c r="C17" s="21"/>
      <c r="D17" s="21">
        <f>H7</f>
        <v>14</v>
      </c>
      <c r="E17" s="16">
        <f>D17*(1+$H$8)</f>
        <v>14.280000000000001</v>
      </c>
      <c r="F17" s="16">
        <f>E17*(1+$H$8)</f>
        <v>14.565600000000002</v>
      </c>
      <c r="G17" s="16">
        <f t="shared" ref="G17:L17" si="0">F17*(1+$H$8)</f>
        <v>14.856912000000001</v>
      </c>
      <c r="H17" s="16">
        <f t="shared" si="0"/>
        <v>15.154050240000002</v>
      </c>
      <c r="I17" s="16">
        <f t="shared" si="0"/>
        <v>15.457131244800003</v>
      </c>
      <c r="J17" s="16">
        <f t="shared" si="0"/>
        <v>15.766273869696004</v>
      </c>
      <c r="K17" s="16">
        <f t="shared" si="0"/>
        <v>16.081599347089924</v>
      </c>
      <c r="L17" s="26">
        <f t="shared" si="0"/>
        <v>16.403231334031723</v>
      </c>
      <c r="M17" s="7"/>
    </row>
    <row r="18" spans="1:21" ht="15.75" x14ac:dyDescent="0.3">
      <c r="B18" s="58" t="s">
        <v>12</v>
      </c>
      <c r="C18" s="23">
        <f>C16</f>
        <v>-170000</v>
      </c>
      <c r="D18" s="23">
        <f>($D$9*D17)*12</f>
        <v>8400</v>
      </c>
      <c r="E18" s="23">
        <f t="shared" ref="E18:L18" si="1">$D$9*E17*12</f>
        <v>8568</v>
      </c>
      <c r="F18" s="23">
        <f t="shared" si="1"/>
        <v>8739.36</v>
      </c>
      <c r="G18" s="23">
        <f t="shared" si="1"/>
        <v>8914.1472000000012</v>
      </c>
      <c r="H18" s="23">
        <f t="shared" si="1"/>
        <v>9092.4301440000017</v>
      </c>
      <c r="I18" s="23">
        <f t="shared" si="1"/>
        <v>9274.2787468800016</v>
      </c>
      <c r="J18" s="23">
        <f t="shared" si="1"/>
        <v>9459.7643218176017</v>
      </c>
      <c r="K18" s="23">
        <f t="shared" si="1"/>
        <v>9648.9596082539538</v>
      </c>
      <c r="L18" s="27">
        <f t="shared" si="1"/>
        <v>9841.9388004190332</v>
      </c>
      <c r="M18" s="7"/>
    </row>
    <row r="19" spans="1:21" ht="15.75" x14ac:dyDescent="0.3">
      <c r="B19" s="54" t="s">
        <v>93</v>
      </c>
      <c r="C19" s="21"/>
      <c r="D19" s="21">
        <f t="shared" ref="D19:L19" si="2">D18*-$D$10</f>
        <v>-700</v>
      </c>
      <c r="E19" s="21">
        <f t="shared" si="2"/>
        <v>-714</v>
      </c>
      <c r="F19" s="21">
        <f t="shared" si="2"/>
        <v>-728.28</v>
      </c>
      <c r="G19" s="21">
        <f t="shared" si="2"/>
        <v>-742.8456000000001</v>
      </c>
      <c r="H19" s="21">
        <f t="shared" si="2"/>
        <v>-757.70251200000007</v>
      </c>
      <c r="I19" s="21">
        <f t="shared" si="2"/>
        <v>-772.85656224000013</v>
      </c>
      <c r="J19" s="21">
        <f t="shared" si="2"/>
        <v>-788.31369348480007</v>
      </c>
      <c r="K19" s="21">
        <f t="shared" si="2"/>
        <v>-804.07996735449615</v>
      </c>
      <c r="L19" s="28">
        <f t="shared" si="2"/>
        <v>-820.16156670158603</v>
      </c>
      <c r="M19" s="7"/>
    </row>
    <row r="20" spans="1:21" ht="15.75" x14ac:dyDescent="0.3">
      <c r="B20" s="58" t="s">
        <v>14</v>
      </c>
      <c r="C20" s="23">
        <f>C18+C19</f>
        <v>-170000</v>
      </c>
      <c r="D20" s="23">
        <f>D18+D19</f>
        <v>7700</v>
      </c>
      <c r="E20" s="23">
        <f t="shared" ref="E20:L20" si="3">E18+E19</f>
        <v>7854</v>
      </c>
      <c r="F20" s="23">
        <f t="shared" si="3"/>
        <v>8011.0800000000008</v>
      </c>
      <c r="G20" s="23">
        <f t="shared" si="3"/>
        <v>8171.3016000000007</v>
      </c>
      <c r="H20" s="23">
        <f t="shared" si="3"/>
        <v>8334.7276320000019</v>
      </c>
      <c r="I20" s="23">
        <f t="shared" si="3"/>
        <v>8501.4221846400014</v>
      </c>
      <c r="J20" s="23">
        <f t="shared" si="3"/>
        <v>8671.450628332801</v>
      </c>
      <c r="K20" s="23">
        <f t="shared" si="3"/>
        <v>8844.8796408994567</v>
      </c>
      <c r="L20" s="27">
        <f t="shared" si="3"/>
        <v>9021.7772337174465</v>
      </c>
    </row>
    <row r="21" spans="1:21" ht="15.75" x14ac:dyDescent="0.3">
      <c r="B21" s="17" t="s">
        <v>15</v>
      </c>
      <c r="C21" s="21"/>
      <c r="D21" s="21">
        <f>(H9*D7)*12</f>
        <v>0</v>
      </c>
      <c r="E21" s="16">
        <f t="shared" ref="E21:G21" si="4">D21*(1+$H$10)</f>
        <v>0</v>
      </c>
      <c r="F21" s="16">
        <f t="shared" si="4"/>
        <v>0</v>
      </c>
      <c r="G21" s="16">
        <f t="shared" si="4"/>
        <v>0</v>
      </c>
      <c r="H21" s="16">
        <f>G21*(1+$H$10)</f>
        <v>0</v>
      </c>
      <c r="I21" s="16">
        <f t="shared" ref="I21:L21" si="5">H21*(1+$H$10)</f>
        <v>0</v>
      </c>
      <c r="J21" s="16">
        <f t="shared" si="5"/>
        <v>0</v>
      </c>
      <c r="K21" s="16">
        <f t="shared" si="5"/>
        <v>0</v>
      </c>
      <c r="L21" s="26">
        <f t="shared" si="5"/>
        <v>0</v>
      </c>
      <c r="Q21" s="4"/>
      <c r="U21" s="15"/>
    </row>
    <row r="22" spans="1:21" ht="15.75" x14ac:dyDescent="0.3">
      <c r="B22" s="48" t="s">
        <v>16</v>
      </c>
      <c r="C22" s="51">
        <f>C20+C21</f>
        <v>-170000</v>
      </c>
      <c r="D22" s="51">
        <f>D20+D21</f>
        <v>7700</v>
      </c>
      <c r="E22" s="51">
        <f t="shared" ref="E22:L22" si="6">E20+E21</f>
        <v>7854</v>
      </c>
      <c r="F22" s="51">
        <f t="shared" si="6"/>
        <v>8011.0800000000008</v>
      </c>
      <c r="G22" s="51">
        <f t="shared" si="6"/>
        <v>8171.3016000000007</v>
      </c>
      <c r="H22" s="51">
        <f t="shared" si="6"/>
        <v>8334.7276320000019</v>
      </c>
      <c r="I22" s="51">
        <f t="shared" si="6"/>
        <v>8501.4221846400014</v>
      </c>
      <c r="J22" s="51">
        <f t="shared" si="6"/>
        <v>8671.450628332801</v>
      </c>
      <c r="K22" s="51">
        <f t="shared" si="6"/>
        <v>8844.8796408994567</v>
      </c>
      <c r="L22" s="27">
        <f t="shared" si="6"/>
        <v>9021.7772337174465</v>
      </c>
      <c r="U22" s="1"/>
    </row>
    <row r="23" spans="1:21" ht="15.75" customHeight="1" x14ac:dyDescent="0.3">
      <c r="B23" s="6" t="s">
        <v>22</v>
      </c>
      <c r="C23" s="21"/>
      <c r="D23" s="21">
        <f>-(H11*D7)</f>
        <v>-400</v>
      </c>
      <c r="E23" s="19">
        <f>D23*(1+$H$12)</f>
        <v>-412</v>
      </c>
      <c r="F23" s="19">
        <f t="shared" ref="F23:L23" si="7">E23*(1+$H$12)</f>
        <v>-424.36</v>
      </c>
      <c r="G23" s="19">
        <f t="shared" si="7"/>
        <v>-437.0908</v>
      </c>
      <c r="H23" s="19">
        <f t="shared" si="7"/>
        <v>-450.20352400000002</v>
      </c>
      <c r="I23" s="19">
        <f t="shared" si="7"/>
        <v>-463.70962972000001</v>
      </c>
      <c r="J23" s="19">
        <f t="shared" si="7"/>
        <v>-477.62091861160002</v>
      </c>
      <c r="K23" s="19">
        <f t="shared" si="7"/>
        <v>-491.94954616994801</v>
      </c>
      <c r="L23" s="29">
        <f t="shared" si="7"/>
        <v>-506.70803255504649</v>
      </c>
    </row>
    <row r="24" spans="1:21" ht="15.75" customHeight="1" x14ac:dyDescent="0.3">
      <c r="B24" s="6" t="s">
        <v>17</v>
      </c>
      <c r="C24" s="7"/>
      <c r="D24" s="7"/>
      <c r="E24" s="7"/>
      <c r="F24" s="7"/>
      <c r="G24" s="7"/>
      <c r="H24" s="7"/>
      <c r="I24" s="7"/>
      <c r="J24" s="7"/>
      <c r="K24" s="7"/>
      <c r="L24" s="30"/>
      <c r="U24" s="15"/>
    </row>
    <row r="25" spans="1:21" ht="15.75" x14ac:dyDescent="0.3">
      <c r="A25" s="86"/>
      <c r="B25" s="57" t="s">
        <v>19</v>
      </c>
      <c r="C25" s="23"/>
      <c r="D25" s="23">
        <f>D23+D24</f>
        <v>-400</v>
      </c>
      <c r="E25" s="23">
        <f t="shared" ref="E25" si="8">E23+E24</f>
        <v>-412</v>
      </c>
      <c r="F25" s="23">
        <f t="shared" ref="F25:L25" si="9">F23+F24</f>
        <v>-424.36</v>
      </c>
      <c r="G25" s="23">
        <f t="shared" si="9"/>
        <v>-437.0908</v>
      </c>
      <c r="H25" s="23">
        <f t="shared" si="9"/>
        <v>-450.20352400000002</v>
      </c>
      <c r="I25" s="23">
        <f t="shared" si="9"/>
        <v>-463.70962972000001</v>
      </c>
      <c r="J25" s="23">
        <f t="shared" si="9"/>
        <v>-477.62091861160002</v>
      </c>
      <c r="K25" s="23">
        <f t="shared" si="9"/>
        <v>-491.94954616994801</v>
      </c>
      <c r="L25" s="27">
        <f t="shared" si="9"/>
        <v>-506.70803255504649</v>
      </c>
      <c r="N25" s="92" t="s">
        <v>102</v>
      </c>
      <c r="O25" s="85"/>
      <c r="U25" s="15"/>
    </row>
    <row r="26" spans="1:21" ht="15.75" x14ac:dyDescent="0.3">
      <c r="A26" s="86"/>
      <c r="B26" s="50" t="s">
        <v>51</v>
      </c>
      <c r="C26" s="51">
        <f t="shared" ref="C26:J26" si="10">C22+C25</f>
        <v>-170000</v>
      </c>
      <c r="D26" s="51">
        <f t="shared" si="10"/>
        <v>7300</v>
      </c>
      <c r="E26" s="51">
        <f t="shared" si="10"/>
        <v>7442</v>
      </c>
      <c r="F26" s="51">
        <f t="shared" si="10"/>
        <v>7586.7200000000012</v>
      </c>
      <c r="G26" s="51">
        <f t="shared" si="10"/>
        <v>7734.2108000000007</v>
      </c>
      <c r="H26" s="51">
        <f t="shared" si="10"/>
        <v>7884.5241080000014</v>
      </c>
      <c r="I26" s="51">
        <f t="shared" si="10"/>
        <v>8037.7125549200018</v>
      </c>
      <c r="J26" s="51">
        <f t="shared" si="10"/>
        <v>8193.8297097212017</v>
      </c>
      <c r="K26" s="51">
        <f>K22+K25</f>
        <v>8352.9300947295087</v>
      </c>
      <c r="L26" s="27">
        <f t="shared" ref="L26" si="11">L22+L25</f>
        <v>8515.0692011623996</v>
      </c>
      <c r="N26" s="47">
        <f>L26/K26-1</f>
        <v>1.9411045536607219E-2</v>
      </c>
    </row>
    <row r="27" spans="1:21" ht="15.75" x14ac:dyDescent="0.3">
      <c r="A27" s="86"/>
      <c r="B27" s="22" t="s">
        <v>95</v>
      </c>
      <c r="C27" s="7"/>
      <c r="D27" s="21"/>
      <c r="E27" s="21"/>
      <c r="F27" s="21"/>
      <c r="G27" s="21"/>
      <c r="H27" s="21"/>
      <c r="I27" s="21"/>
      <c r="J27" s="21"/>
      <c r="K27" s="21">
        <f>(L26)/(D3-D4)</f>
        <v>154258.50002105796</v>
      </c>
      <c r="L27" s="7"/>
      <c r="N27" s="3"/>
    </row>
    <row r="28" spans="1:21" ht="15.75" x14ac:dyDescent="0.3">
      <c r="A28" s="86"/>
      <c r="B28" s="22" t="s">
        <v>94</v>
      </c>
      <c r="C28" s="7"/>
      <c r="D28" s="21"/>
      <c r="E28" s="21"/>
      <c r="F28" s="21">
        <f>-(D11*D7)</f>
        <v>0</v>
      </c>
      <c r="G28" s="21"/>
      <c r="H28" s="21">
        <f>-D12</f>
        <v>0</v>
      </c>
      <c r="I28" s="21"/>
      <c r="J28" s="21"/>
      <c r="K28" s="21"/>
      <c r="L28" s="7"/>
      <c r="N28" s="81" t="s">
        <v>56</v>
      </c>
      <c r="O28" s="82"/>
      <c r="P28" s="81"/>
      <c r="Q28" s="82"/>
      <c r="R28" s="81"/>
      <c r="S28" s="82"/>
    </row>
    <row r="29" spans="1:21" ht="15.75" x14ac:dyDescent="0.3">
      <c r="A29" s="86"/>
      <c r="B29" s="50" t="s">
        <v>53</v>
      </c>
      <c r="C29" s="52">
        <f>C26</f>
        <v>-170000</v>
      </c>
      <c r="D29" s="49">
        <f>D26+D27+D28</f>
        <v>7300</v>
      </c>
      <c r="E29" s="49">
        <f t="shared" ref="E29:K29" si="12">E26+E27+E28</f>
        <v>7442</v>
      </c>
      <c r="F29" s="49">
        <f t="shared" si="12"/>
        <v>7586.7200000000012</v>
      </c>
      <c r="G29" s="49">
        <f t="shared" si="12"/>
        <v>7734.2108000000007</v>
      </c>
      <c r="H29" s="49">
        <f t="shared" si="12"/>
        <v>7884.5241080000014</v>
      </c>
      <c r="I29" s="49">
        <f t="shared" si="12"/>
        <v>8037.7125549200018</v>
      </c>
      <c r="J29" s="49">
        <f t="shared" si="12"/>
        <v>8193.8297097212017</v>
      </c>
      <c r="K29" s="49">
        <f t="shared" si="12"/>
        <v>162611.43011578746</v>
      </c>
      <c r="L29" s="7"/>
      <c r="N29" s="15">
        <f>L26/(D3-D4)</f>
        <v>154258.50002105796</v>
      </c>
    </row>
    <row r="31" spans="1:21" x14ac:dyDescent="0.25">
      <c r="L31" s="7"/>
    </row>
    <row r="32" spans="1:21" x14ac:dyDescent="0.25">
      <c r="L32" s="7"/>
    </row>
    <row r="39" spans="2:8" x14ac:dyDescent="0.25">
      <c r="B39" t="s">
        <v>36</v>
      </c>
    </row>
    <row r="40" spans="2:8" x14ac:dyDescent="0.25">
      <c r="B40" t="s">
        <v>35</v>
      </c>
    </row>
    <row r="41" spans="2:8" x14ac:dyDescent="0.25">
      <c r="B41" t="s">
        <v>34</v>
      </c>
    </row>
    <row r="43" spans="2:8" ht="15.75" x14ac:dyDescent="0.3">
      <c r="B43" s="85" t="s">
        <v>3</v>
      </c>
      <c r="C43" s="85"/>
      <c r="D43" s="85"/>
      <c r="E43" s="85"/>
      <c r="F43" s="85"/>
      <c r="G43" s="85"/>
      <c r="H43" s="85"/>
    </row>
    <row r="44" spans="2:8" ht="15.75" x14ac:dyDescent="0.25">
      <c r="C44" s="33"/>
      <c r="D44" s="33"/>
      <c r="E44" s="33"/>
      <c r="F44" s="34" t="s">
        <v>31</v>
      </c>
      <c r="G44" s="33"/>
      <c r="H44" s="33"/>
    </row>
    <row r="45" spans="2:8" ht="15.75" x14ac:dyDescent="0.3">
      <c r="B45" s="87" t="s">
        <v>46</v>
      </c>
      <c r="C45" s="35">
        <f>K4</f>
        <v>-42086.852636438358</v>
      </c>
      <c r="D45" s="36">
        <v>1.4999999999999999E-2</v>
      </c>
      <c r="E45" s="36">
        <v>0.02</v>
      </c>
      <c r="F45" s="36">
        <v>2.5000000000000001E-2</v>
      </c>
      <c r="G45" s="36">
        <v>0.03</v>
      </c>
      <c r="H45" s="36">
        <v>3.5000000000000003E-2</v>
      </c>
    </row>
    <row r="46" spans="2:8" ht="15.75" x14ac:dyDescent="0.3">
      <c r="B46" s="87"/>
      <c r="C46" s="39">
        <v>0.10299999999999999</v>
      </c>
      <c r="D46" s="8">
        <f t="dataTable" ref="D46:H50" dt2D="1" dtr="1" r1="H8" r2="D10"/>
        <v>-49039.051937367432</v>
      </c>
      <c r="E46" s="8">
        <v>-44991.741672440912</v>
      </c>
      <c r="F46" s="8">
        <v>-40814.598217841078</v>
      </c>
      <c r="G46" s="8">
        <v>-36503.915087599627</v>
      </c>
      <c r="H46" s="37">
        <v>-32055.896536194196</v>
      </c>
    </row>
    <row r="47" spans="2:8" ht="15.75" x14ac:dyDescent="0.3">
      <c r="B47" s="87"/>
      <c r="C47" s="39">
        <v>9.2999999999999999E-2</v>
      </c>
      <c r="D47" s="8">
        <v>-47607.1102314452</v>
      </c>
      <c r="E47" s="13">
        <v>-43514.67945074469</v>
      </c>
      <c r="F47" s="13">
        <v>-39290.968064655463</v>
      </c>
      <c r="G47" s="13">
        <v>-34932.228266295395</v>
      </c>
      <c r="H47" s="8">
        <v>-30434.621994138492</v>
      </c>
    </row>
    <row r="48" spans="2:8" ht="15.75" x14ac:dyDescent="0.3">
      <c r="B48" s="87"/>
      <c r="C48" s="39">
        <v>8.3000000000000004E-2</v>
      </c>
      <c r="D48" s="8">
        <v>-46175.168525522953</v>
      </c>
      <c r="E48" s="13">
        <v>-42037.617229048468</v>
      </c>
      <c r="F48" s="14">
        <v>-37767.337911469833</v>
      </c>
      <c r="G48" s="13">
        <v>-33360.541444991133</v>
      </c>
      <c r="H48" s="8">
        <v>-28813.347452082817</v>
      </c>
    </row>
    <row r="49" spans="2:8" ht="15.75" x14ac:dyDescent="0.3">
      <c r="B49" s="87"/>
      <c r="C49" s="39">
        <v>7.2999999999999995E-2</v>
      </c>
      <c r="D49" s="8">
        <v>-44743.226819600721</v>
      </c>
      <c r="E49" s="13">
        <v>-40560.555007352246</v>
      </c>
      <c r="F49" s="13">
        <v>-36243.707758284232</v>
      </c>
      <c r="G49" s="13">
        <v>-31788.854623686842</v>
      </c>
      <c r="H49" s="8">
        <v>-27192.072910027084</v>
      </c>
    </row>
    <row r="50" spans="2:8" ht="15.75" x14ac:dyDescent="0.3">
      <c r="C50" s="39">
        <v>6.3E-2</v>
      </c>
      <c r="D50" s="38">
        <v>-43311.285113678474</v>
      </c>
      <c r="E50" s="8">
        <v>-39083.49278565601</v>
      </c>
      <c r="F50" s="8">
        <v>-34720.077605098602</v>
      </c>
      <c r="G50" s="8">
        <v>-30217.16780238261</v>
      </c>
      <c r="H50" s="8">
        <v>-25570.79836797138</v>
      </c>
    </row>
  </sheetData>
  <mergeCells count="5">
    <mergeCell ref="A25:A29"/>
    <mergeCell ref="B43:H43"/>
    <mergeCell ref="B45:B49"/>
    <mergeCell ref="D14:K14"/>
    <mergeCell ref="N25:O25"/>
  </mergeCells>
  <conditionalFormatting sqref="K4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  <ignoredErrors>
    <ignoredError sqref="I21:L21" formula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2AD2-9C9C-4F36-BEF6-E6FAA96CBA6B}">
  <dimension ref="A1:U53"/>
  <sheetViews>
    <sheetView showGridLines="0" zoomScaleNormal="100" workbookViewId="0">
      <selection activeCell="F14" sqref="F14"/>
    </sheetView>
  </sheetViews>
  <sheetFormatPr defaultRowHeight="15" x14ac:dyDescent="0.25"/>
  <cols>
    <col min="1" max="1" width="2.85546875" customWidth="1"/>
    <col min="2" max="2" width="40.28515625" bestFit="1" customWidth="1"/>
    <col min="3" max="6" width="13.7109375" customWidth="1"/>
    <col min="7" max="7" width="17.42578125" customWidth="1"/>
    <col min="8" max="8" width="14.28515625" bestFit="1" customWidth="1"/>
    <col min="9" max="11" width="13.7109375" customWidth="1"/>
    <col min="12" max="12" width="18.28515625" bestFit="1" customWidth="1"/>
    <col min="13" max="14" width="13.7109375" customWidth="1"/>
    <col min="15" max="15" width="11" bestFit="1" customWidth="1"/>
    <col min="19" max="19" width="31.7109375" bestFit="1" customWidth="1"/>
    <col min="20" max="20" width="17.5703125" bestFit="1" customWidth="1"/>
    <col min="21" max="21" width="12.85546875" bestFit="1" customWidth="1"/>
    <col min="23" max="23" width="17.5703125" bestFit="1" customWidth="1"/>
  </cols>
  <sheetData>
    <row r="1" spans="2:21" x14ac:dyDescent="0.25">
      <c r="B1" s="2"/>
    </row>
    <row r="2" spans="2:21" ht="15.75" x14ac:dyDescent="0.3">
      <c r="B2" s="11" t="s">
        <v>0</v>
      </c>
      <c r="C2" s="11"/>
      <c r="D2" s="11"/>
      <c r="F2" s="11" t="s">
        <v>0</v>
      </c>
      <c r="G2" s="11"/>
      <c r="H2" s="11"/>
      <c r="L2" s="11" t="s">
        <v>24</v>
      </c>
      <c r="M2" s="11"/>
    </row>
    <row r="3" spans="2:21" ht="15.75" x14ac:dyDescent="0.3">
      <c r="B3" t="s">
        <v>44</v>
      </c>
      <c r="D3" s="41">
        <v>0.1</v>
      </c>
      <c r="F3" t="s">
        <v>10</v>
      </c>
      <c r="H3" s="45">
        <v>1500000</v>
      </c>
      <c r="L3" s="5" t="s">
        <v>25</v>
      </c>
      <c r="M3" s="5">
        <f>NPV(D6,D32:K32)+C32</f>
        <v>336666.91182105895</v>
      </c>
    </row>
    <row r="4" spans="2:21" ht="15.75" x14ac:dyDescent="0.3">
      <c r="B4" t="s">
        <v>50</v>
      </c>
      <c r="D4" s="41">
        <v>2.4799999999999999E-2</v>
      </c>
      <c r="F4" t="s">
        <v>30</v>
      </c>
      <c r="H4" s="41"/>
      <c r="L4" s="4" t="s">
        <v>26</v>
      </c>
      <c r="M4" s="32">
        <f>IRR(C36:K36)</f>
        <v>9.1927562796120688E-2</v>
      </c>
    </row>
    <row r="5" spans="2:21" ht="15.75" x14ac:dyDescent="0.3">
      <c r="B5" t="s">
        <v>29</v>
      </c>
      <c r="D5" s="42">
        <v>0.21</v>
      </c>
      <c r="F5" t="s">
        <v>8</v>
      </c>
      <c r="H5" s="43">
        <v>8</v>
      </c>
      <c r="L5" t="s">
        <v>47</v>
      </c>
      <c r="M5" s="32">
        <f>D29/-C19</f>
        <v>8.1960000000000005E-2</v>
      </c>
    </row>
    <row r="6" spans="2:21" x14ac:dyDescent="0.25">
      <c r="B6" t="s">
        <v>43</v>
      </c>
      <c r="D6" s="41">
        <f>D3*(1-D5)</f>
        <v>7.9000000000000015E-2</v>
      </c>
    </row>
    <row r="7" spans="2:21" ht="15.75" x14ac:dyDescent="0.3">
      <c r="F7" t="s">
        <v>13</v>
      </c>
      <c r="H7" s="45">
        <v>13</v>
      </c>
      <c r="L7" s="85" t="s">
        <v>37</v>
      </c>
      <c r="M7" s="85"/>
    </row>
    <row r="8" spans="2:21" x14ac:dyDescent="0.25">
      <c r="F8" t="s">
        <v>45</v>
      </c>
      <c r="H8" s="42">
        <v>2.5000000000000001E-2</v>
      </c>
      <c r="L8" t="s">
        <v>38</v>
      </c>
      <c r="M8" s="20">
        <f>H3</f>
        <v>1500000</v>
      </c>
    </row>
    <row r="9" spans="2:21" x14ac:dyDescent="0.25">
      <c r="B9" t="s">
        <v>4</v>
      </c>
      <c r="D9" s="43">
        <v>6</v>
      </c>
      <c r="F9" t="s">
        <v>15</v>
      </c>
      <c r="H9" s="45">
        <v>20</v>
      </c>
      <c r="L9" t="s">
        <v>40</v>
      </c>
      <c r="M9" s="20">
        <f>SUM(D33:K33)</f>
        <v>0</v>
      </c>
    </row>
    <row r="10" spans="2:21" x14ac:dyDescent="0.25">
      <c r="B10" t="s">
        <v>5</v>
      </c>
      <c r="D10" s="43">
        <v>150</v>
      </c>
      <c r="F10" t="s">
        <v>48</v>
      </c>
      <c r="H10" s="42">
        <v>0.03</v>
      </c>
      <c r="L10" t="s">
        <v>42</v>
      </c>
      <c r="M10" s="20">
        <f>M8-M9</f>
        <v>1500000</v>
      </c>
    </row>
    <row r="11" spans="2:21" x14ac:dyDescent="0.25">
      <c r="B11" t="s">
        <v>11</v>
      </c>
      <c r="D11" s="43">
        <f>D9*D10</f>
        <v>900</v>
      </c>
      <c r="F11" t="s">
        <v>22</v>
      </c>
      <c r="H11" s="45">
        <v>1200</v>
      </c>
      <c r="L11" t="s">
        <v>39</v>
      </c>
      <c r="M11" s="20">
        <f>K30</f>
        <v>1988189.5909672037</v>
      </c>
      <c r="U11" s="15"/>
    </row>
    <row r="12" spans="2:21" x14ac:dyDescent="0.25">
      <c r="B12" t="s">
        <v>9</v>
      </c>
      <c r="D12" s="42">
        <f>3/(3*12)</f>
        <v>8.3333333333333329E-2</v>
      </c>
      <c r="F12" t="s">
        <v>32</v>
      </c>
      <c r="H12" s="42">
        <v>0.03</v>
      </c>
      <c r="L12" t="s">
        <v>41</v>
      </c>
      <c r="M12" s="20">
        <f>M11-M10</f>
        <v>488189.59096720372</v>
      </c>
      <c r="U12" s="3"/>
    </row>
    <row r="13" spans="2:21" x14ac:dyDescent="0.25">
      <c r="B13" t="s">
        <v>6</v>
      </c>
      <c r="D13" s="44">
        <v>1750</v>
      </c>
      <c r="L13" t="s">
        <v>29</v>
      </c>
      <c r="M13" s="15">
        <f>M12*D5</f>
        <v>102519.81410311277</v>
      </c>
    </row>
    <row r="14" spans="2:21" x14ac:dyDescent="0.25">
      <c r="B14" t="s">
        <v>7</v>
      </c>
      <c r="D14" s="44">
        <v>5000</v>
      </c>
      <c r="U14" s="3"/>
    </row>
    <row r="15" spans="2:21" x14ac:dyDescent="0.25">
      <c r="S15" s="7"/>
    </row>
    <row r="16" spans="2:21" x14ac:dyDescent="0.25">
      <c r="M16" s="7"/>
      <c r="S16" s="7"/>
    </row>
    <row r="17" spans="1:21" ht="15.75" x14ac:dyDescent="0.3">
      <c r="C17" s="46" t="s">
        <v>2</v>
      </c>
      <c r="D17" s="93" t="s">
        <v>49</v>
      </c>
      <c r="E17" s="93"/>
      <c r="F17" s="93"/>
      <c r="G17" s="93"/>
      <c r="H17" s="93"/>
      <c r="I17" s="93"/>
      <c r="J17" s="93"/>
      <c r="K17" s="93"/>
      <c r="L17" s="31" t="s">
        <v>23</v>
      </c>
      <c r="M17" s="7"/>
      <c r="Q17" s="7"/>
    </row>
    <row r="18" spans="1:21" ht="15.75" x14ac:dyDescent="0.3">
      <c r="B18" s="18" t="s">
        <v>1</v>
      </c>
      <c r="C18" s="40">
        <v>0</v>
      </c>
      <c r="D18" s="40">
        <v>1</v>
      </c>
      <c r="E18" s="40">
        <v>2</v>
      </c>
      <c r="F18" s="40">
        <v>3</v>
      </c>
      <c r="G18" s="40">
        <v>4</v>
      </c>
      <c r="H18" s="40">
        <v>5</v>
      </c>
      <c r="I18" s="40">
        <v>6</v>
      </c>
      <c r="J18" s="40">
        <v>7</v>
      </c>
      <c r="K18" s="40">
        <v>8</v>
      </c>
      <c r="L18" s="24">
        <v>9</v>
      </c>
      <c r="M18" s="7"/>
    </row>
    <row r="19" spans="1:21" ht="15.75" x14ac:dyDescent="0.3">
      <c r="B19" s="6" t="s">
        <v>10</v>
      </c>
      <c r="C19" s="20">
        <f>-H3</f>
        <v>-1500000</v>
      </c>
      <c r="D19" s="21"/>
      <c r="E19" s="12"/>
      <c r="F19" s="12"/>
      <c r="G19" s="12"/>
      <c r="H19" s="12"/>
      <c r="I19" s="12"/>
      <c r="J19" s="12"/>
      <c r="K19" s="12"/>
      <c r="L19" s="25"/>
      <c r="M19" s="7"/>
    </row>
    <row r="20" spans="1:21" ht="15.75" x14ac:dyDescent="0.3">
      <c r="B20" s="6" t="s">
        <v>13</v>
      </c>
      <c r="C20" s="21"/>
      <c r="D20" s="21">
        <f>H7</f>
        <v>13</v>
      </c>
      <c r="E20" s="16">
        <f>D20*(1+$H$8)</f>
        <v>13.324999999999999</v>
      </c>
      <c r="F20" s="16">
        <f>E20*(1+$H$8)</f>
        <v>13.658124999999998</v>
      </c>
      <c r="G20" s="16">
        <f t="shared" ref="G20:L20" si="0">F20*(1+$H$8)</f>
        <v>13.999578124999998</v>
      </c>
      <c r="H20" s="16">
        <f t="shared" si="0"/>
        <v>14.349567578124995</v>
      </c>
      <c r="I20" s="16">
        <f t="shared" si="0"/>
        <v>14.708306767578119</v>
      </c>
      <c r="J20" s="16">
        <f t="shared" si="0"/>
        <v>15.07601443676757</v>
      </c>
      <c r="K20" s="16">
        <f t="shared" si="0"/>
        <v>15.452914797686759</v>
      </c>
      <c r="L20" s="26">
        <f t="shared" si="0"/>
        <v>15.839237667628927</v>
      </c>
      <c r="M20" s="7"/>
    </row>
    <row r="21" spans="1:21" ht="15.75" x14ac:dyDescent="0.3">
      <c r="B21" s="53" t="s">
        <v>12</v>
      </c>
      <c r="C21" s="23">
        <f>C19</f>
        <v>-1500000</v>
      </c>
      <c r="D21" s="23">
        <f>($D$11*D20)*12</f>
        <v>140400</v>
      </c>
      <c r="E21" s="23">
        <f t="shared" ref="E21:L21" si="1">$D$11*E20*12</f>
        <v>143910</v>
      </c>
      <c r="F21" s="23">
        <f t="shared" si="1"/>
        <v>147507.74999999997</v>
      </c>
      <c r="G21" s="23">
        <f t="shared" si="1"/>
        <v>151195.44374999998</v>
      </c>
      <c r="H21" s="23">
        <f t="shared" si="1"/>
        <v>154975.32984374993</v>
      </c>
      <c r="I21" s="23">
        <f t="shared" si="1"/>
        <v>158849.71308984369</v>
      </c>
      <c r="J21" s="23">
        <f t="shared" si="1"/>
        <v>162820.95591708977</v>
      </c>
      <c r="K21" s="23">
        <f t="shared" si="1"/>
        <v>166891.479815017</v>
      </c>
      <c r="L21" s="27">
        <f t="shared" si="1"/>
        <v>171063.76681039241</v>
      </c>
      <c r="M21" s="7"/>
    </row>
    <row r="22" spans="1:21" ht="15.75" x14ac:dyDescent="0.3">
      <c r="B22" s="54" t="s">
        <v>18</v>
      </c>
      <c r="C22" s="21"/>
      <c r="D22" s="21">
        <f>D21*-$D$12</f>
        <v>-11700</v>
      </c>
      <c r="E22" s="21">
        <f t="shared" ref="E22:L22" si="2">E21*-$D$12</f>
        <v>-11992.5</v>
      </c>
      <c r="F22" s="21">
        <f t="shared" si="2"/>
        <v>-12292.312499999996</v>
      </c>
      <c r="G22" s="21">
        <f t="shared" si="2"/>
        <v>-12599.620312499997</v>
      </c>
      <c r="H22" s="21">
        <f t="shared" si="2"/>
        <v>-12914.610820312493</v>
      </c>
      <c r="I22" s="21">
        <f t="shared" si="2"/>
        <v>-13237.476090820306</v>
      </c>
      <c r="J22" s="21">
        <f t="shared" si="2"/>
        <v>-13568.412993090813</v>
      </c>
      <c r="K22" s="21">
        <f t="shared" si="2"/>
        <v>-13907.623317918082</v>
      </c>
      <c r="L22" s="28">
        <f t="shared" si="2"/>
        <v>-14255.313900866033</v>
      </c>
      <c r="M22" s="7"/>
    </row>
    <row r="23" spans="1:21" ht="15.75" x14ac:dyDescent="0.3">
      <c r="B23" s="53" t="s">
        <v>14</v>
      </c>
      <c r="C23" s="23">
        <f>C21+C22</f>
        <v>-1500000</v>
      </c>
      <c r="D23" s="23">
        <f>D21+D22</f>
        <v>128700</v>
      </c>
      <c r="E23" s="23">
        <f t="shared" ref="E23:L23" si="3">E21+E22</f>
        <v>131917.5</v>
      </c>
      <c r="F23" s="23">
        <f t="shared" si="3"/>
        <v>135215.43749999997</v>
      </c>
      <c r="G23" s="23">
        <f t="shared" si="3"/>
        <v>138595.82343749999</v>
      </c>
      <c r="H23" s="23">
        <f t="shared" si="3"/>
        <v>142060.71902343744</v>
      </c>
      <c r="I23" s="23">
        <f t="shared" si="3"/>
        <v>145612.23699902339</v>
      </c>
      <c r="J23" s="23">
        <f t="shared" si="3"/>
        <v>149252.54292399896</v>
      </c>
      <c r="K23" s="23">
        <f t="shared" si="3"/>
        <v>152983.85649709892</v>
      </c>
      <c r="L23" s="27">
        <f t="shared" si="3"/>
        <v>156808.45290952639</v>
      </c>
    </row>
    <row r="24" spans="1:21" ht="15.75" x14ac:dyDescent="0.3">
      <c r="B24" s="17" t="s">
        <v>15</v>
      </c>
      <c r="C24" s="21"/>
      <c r="D24" s="21">
        <f>(H9*D9)*12</f>
        <v>1440</v>
      </c>
      <c r="E24" s="16">
        <f>D24*(1+$H$10)</f>
        <v>1483.2</v>
      </c>
      <c r="F24" s="16">
        <f>E24*(1+$H$10)</f>
        <v>1527.6960000000001</v>
      </c>
      <c r="G24" s="16">
        <f t="shared" ref="G24:L24" si="4">F24*(1+$H$10)</f>
        <v>1573.5268800000001</v>
      </c>
      <c r="H24" s="16">
        <f t="shared" si="4"/>
        <v>1620.7326864000001</v>
      </c>
      <c r="I24" s="16">
        <f t="shared" si="4"/>
        <v>1669.3546669920001</v>
      </c>
      <c r="J24" s="16">
        <f t="shared" si="4"/>
        <v>1719.4353070017603</v>
      </c>
      <c r="K24" s="16">
        <f t="shared" si="4"/>
        <v>1771.0183662118131</v>
      </c>
      <c r="L24" s="26">
        <f t="shared" si="4"/>
        <v>1824.1489171981675</v>
      </c>
      <c r="Q24" s="4"/>
      <c r="U24" s="15"/>
    </row>
    <row r="25" spans="1:21" ht="15.75" x14ac:dyDescent="0.3">
      <c r="B25" s="48" t="s">
        <v>16</v>
      </c>
      <c r="C25" s="51">
        <f>C23+C24</f>
        <v>-1500000</v>
      </c>
      <c r="D25" s="51">
        <f>D23+D24</f>
        <v>130140</v>
      </c>
      <c r="E25" s="51">
        <f t="shared" ref="E25:L25" si="5">E23+E24</f>
        <v>133400.70000000001</v>
      </c>
      <c r="F25" s="51">
        <f t="shared" si="5"/>
        <v>136743.13349999997</v>
      </c>
      <c r="G25" s="51">
        <f t="shared" si="5"/>
        <v>140169.35031749998</v>
      </c>
      <c r="H25" s="51">
        <f t="shared" si="5"/>
        <v>143681.45170983745</v>
      </c>
      <c r="I25" s="51">
        <f t="shared" si="5"/>
        <v>147281.59166601539</v>
      </c>
      <c r="J25" s="51">
        <f t="shared" si="5"/>
        <v>150971.97823100071</v>
      </c>
      <c r="K25" s="51">
        <f t="shared" si="5"/>
        <v>154754.87486331075</v>
      </c>
      <c r="L25" s="27">
        <f t="shared" si="5"/>
        <v>158632.60182672457</v>
      </c>
      <c r="U25" s="1"/>
    </row>
    <row r="26" spans="1:21" ht="15.75" customHeight="1" x14ac:dyDescent="0.3">
      <c r="B26" s="6" t="s">
        <v>22</v>
      </c>
      <c r="C26" s="21"/>
      <c r="D26" s="21">
        <f>-(H11*D9)</f>
        <v>-7200</v>
      </c>
      <c r="E26" s="19">
        <f>D26*(1+$H$12)</f>
        <v>-7416</v>
      </c>
      <c r="F26" s="19">
        <f t="shared" ref="F26:L26" si="6">E26*(1+$H$12)</f>
        <v>-7638.4800000000005</v>
      </c>
      <c r="G26" s="19">
        <f t="shared" si="6"/>
        <v>-7867.6344000000008</v>
      </c>
      <c r="H26" s="19">
        <f t="shared" si="6"/>
        <v>-8103.6634320000012</v>
      </c>
      <c r="I26" s="19">
        <f t="shared" si="6"/>
        <v>-8346.7733349600021</v>
      </c>
      <c r="J26" s="19">
        <f t="shared" si="6"/>
        <v>-8597.1765350088026</v>
      </c>
      <c r="K26" s="19">
        <f t="shared" si="6"/>
        <v>-8855.0918310590678</v>
      </c>
      <c r="L26" s="29">
        <f t="shared" si="6"/>
        <v>-9120.7445859908403</v>
      </c>
    </row>
    <row r="27" spans="1:21" ht="15.75" customHeight="1" x14ac:dyDescent="0.3">
      <c r="B27" s="6" t="s">
        <v>17</v>
      </c>
      <c r="C27" s="7"/>
      <c r="D27" s="7"/>
      <c r="E27" s="7"/>
      <c r="F27" s="7"/>
      <c r="G27" s="7"/>
      <c r="H27" s="7"/>
      <c r="I27" s="7"/>
      <c r="J27" s="7"/>
      <c r="K27" s="7"/>
      <c r="L27" s="30"/>
      <c r="U27" s="15"/>
    </row>
    <row r="28" spans="1:21" ht="15.75" x14ac:dyDescent="0.3">
      <c r="A28" s="86"/>
      <c r="B28" s="10" t="s">
        <v>19</v>
      </c>
      <c r="C28" s="23"/>
      <c r="D28" s="23">
        <f>D26+D27</f>
        <v>-7200</v>
      </c>
      <c r="E28" s="23">
        <f t="shared" ref="E28:L28" si="7">E26+E27</f>
        <v>-7416</v>
      </c>
      <c r="F28" s="23">
        <f t="shared" si="7"/>
        <v>-7638.4800000000005</v>
      </c>
      <c r="G28" s="23">
        <f t="shared" si="7"/>
        <v>-7867.6344000000008</v>
      </c>
      <c r="H28" s="23">
        <f t="shared" si="7"/>
        <v>-8103.6634320000012</v>
      </c>
      <c r="I28" s="23">
        <f t="shared" si="7"/>
        <v>-8346.7733349600021</v>
      </c>
      <c r="J28" s="23">
        <f t="shared" si="7"/>
        <v>-8597.1765350088026</v>
      </c>
      <c r="K28" s="23">
        <f t="shared" si="7"/>
        <v>-8855.0918310590678</v>
      </c>
      <c r="L28" s="27">
        <f t="shared" si="7"/>
        <v>-9120.7445859908403</v>
      </c>
      <c r="N28" s="96" t="s">
        <v>103</v>
      </c>
      <c r="O28" s="11"/>
      <c r="U28" s="15"/>
    </row>
    <row r="29" spans="1:21" ht="15.75" x14ac:dyDescent="0.3">
      <c r="A29" s="86"/>
      <c r="B29" s="50" t="s">
        <v>51</v>
      </c>
      <c r="C29" s="51">
        <f t="shared" ref="C29:J29" si="8">C25+C28</f>
        <v>-1500000</v>
      </c>
      <c r="D29" s="51">
        <f t="shared" si="8"/>
        <v>122940</v>
      </c>
      <c r="E29" s="51">
        <f t="shared" si="8"/>
        <v>125984.70000000001</v>
      </c>
      <c r="F29" s="51">
        <f t="shared" si="8"/>
        <v>129104.65349999997</v>
      </c>
      <c r="G29" s="51">
        <f t="shared" si="8"/>
        <v>132301.71591749997</v>
      </c>
      <c r="H29" s="51">
        <f t="shared" si="8"/>
        <v>135577.78827783745</v>
      </c>
      <c r="I29" s="51">
        <f t="shared" si="8"/>
        <v>138934.8183310554</v>
      </c>
      <c r="J29" s="51">
        <f t="shared" si="8"/>
        <v>142374.80169599192</v>
      </c>
      <c r="K29" s="51">
        <f>K25+K28</f>
        <v>145899.78303225167</v>
      </c>
      <c r="L29" s="27">
        <f t="shared" ref="L29" si="9">L25+L28</f>
        <v>149511.85724073372</v>
      </c>
      <c r="N29" s="47">
        <f>L29/K29-1</f>
        <v>2.4757228101453643E-2</v>
      </c>
    </row>
    <row r="30" spans="1:21" ht="15.75" x14ac:dyDescent="0.3">
      <c r="A30" s="86"/>
      <c r="B30" s="22" t="s">
        <v>20</v>
      </c>
      <c r="C30" s="7"/>
      <c r="D30" s="21"/>
      <c r="E30" s="21"/>
      <c r="F30" s="21"/>
      <c r="G30" s="21"/>
      <c r="H30" s="21"/>
      <c r="I30" s="21"/>
      <c r="J30" s="21"/>
      <c r="K30" s="21">
        <f>(L29)/(D3-D4)</f>
        <v>1988189.5909672037</v>
      </c>
      <c r="L30" s="7"/>
      <c r="N30" s="3"/>
    </row>
    <row r="31" spans="1:21" ht="15.75" x14ac:dyDescent="0.3">
      <c r="A31" s="86"/>
      <c r="B31" s="22" t="s">
        <v>21</v>
      </c>
      <c r="C31" s="7"/>
      <c r="D31" s="21"/>
      <c r="E31" s="21"/>
      <c r="F31" s="21">
        <f>-(D13*D9)</f>
        <v>-10500</v>
      </c>
      <c r="G31" s="21"/>
      <c r="H31" s="21">
        <f>-D14</f>
        <v>-5000</v>
      </c>
      <c r="I31" s="21"/>
      <c r="J31" s="21"/>
      <c r="K31" s="21"/>
      <c r="L31" s="7"/>
      <c r="N31" s="96" t="s">
        <v>52</v>
      </c>
      <c r="O31" s="11"/>
      <c r="P31" s="11"/>
      <c r="Q31" s="11"/>
      <c r="R31" s="11"/>
      <c r="S31" s="11"/>
    </row>
    <row r="32" spans="1:21" ht="15.75" x14ac:dyDescent="0.3">
      <c r="A32" s="86"/>
      <c r="B32" s="50" t="s">
        <v>53</v>
      </c>
      <c r="C32" s="52">
        <f>C29</f>
        <v>-1500000</v>
      </c>
      <c r="D32" s="49">
        <f>D29+D30+D31</f>
        <v>122940</v>
      </c>
      <c r="E32" s="49">
        <f t="shared" ref="E32:K32" si="10">E29+E30+E31</f>
        <v>125984.70000000001</v>
      </c>
      <c r="F32" s="49">
        <f t="shared" si="10"/>
        <v>118604.65349999997</v>
      </c>
      <c r="G32" s="49">
        <f t="shared" si="10"/>
        <v>132301.71591749997</v>
      </c>
      <c r="H32" s="49">
        <f t="shared" si="10"/>
        <v>130577.78827783745</v>
      </c>
      <c r="I32" s="49">
        <f t="shared" si="10"/>
        <v>138934.8183310554</v>
      </c>
      <c r="J32" s="49">
        <f t="shared" si="10"/>
        <v>142374.80169599192</v>
      </c>
      <c r="K32" s="49">
        <f t="shared" si="10"/>
        <v>2134089.3739994555</v>
      </c>
      <c r="L32" s="7"/>
      <c r="N32" s="15">
        <f>L29/(D3-D4)</f>
        <v>1988189.5909672037</v>
      </c>
    </row>
    <row r="33" spans="2:12" ht="15.75" x14ac:dyDescent="0.3">
      <c r="B33" s="22" t="s">
        <v>27</v>
      </c>
      <c r="D33" s="21">
        <f t="shared" ref="D33:K33" si="11">$H$3*$H$4</f>
        <v>0</v>
      </c>
      <c r="E33" s="21">
        <f t="shared" si="11"/>
        <v>0</v>
      </c>
      <c r="F33" s="21">
        <f t="shared" si="11"/>
        <v>0</v>
      </c>
      <c r="G33" s="21">
        <f t="shared" si="11"/>
        <v>0</v>
      </c>
      <c r="H33" s="21">
        <f t="shared" si="11"/>
        <v>0</v>
      </c>
      <c r="I33" s="21">
        <f t="shared" si="11"/>
        <v>0</v>
      </c>
      <c r="J33" s="21">
        <f t="shared" si="11"/>
        <v>0</v>
      </c>
      <c r="K33" s="21">
        <f t="shared" si="11"/>
        <v>0</v>
      </c>
    </row>
    <row r="34" spans="2:12" ht="15.75" x14ac:dyDescent="0.3">
      <c r="B34" s="22" t="s">
        <v>28</v>
      </c>
      <c r="C34" s="9"/>
      <c r="D34" s="21">
        <f>D32-D33</f>
        <v>122940</v>
      </c>
      <c r="E34" s="21">
        <f t="shared" ref="E34:K34" si="12">E32-E33</f>
        <v>125984.70000000001</v>
      </c>
      <c r="F34" s="21">
        <f t="shared" si="12"/>
        <v>118604.65349999997</v>
      </c>
      <c r="G34" s="21">
        <f t="shared" si="12"/>
        <v>132301.71591749997</v>
      </c>
      <c r="H34" s="21">
        <f t="shared" si="12"/>
        <v>130577.78827783745</v>
      </c>
      <c r="I34" s="21">
        <f t="shared" si="12"/>
        <v>138934.8183310554</v>
      </c>
      <c r="J34" s="21">
        <f>J32-J33</f>
        <v>142374.80169599192</v>
      </c>
      <c r="K34" s="21">
        <f t="shared" si="12"/>
        <v>2134089.3739994555</v>
      </c>
      <c r="L34" s="7"/>
    </row>
    <row r="35" spans="2:12" ht="15.75" x14ac:dyDescent="0.3">
      <c r="B35" s="22" t="s">
        <v>29</v>
      </c>
      <c r="C35" s="7"/>
      <c r="D35" s="21">
        <f>D34*$D$5</f>
        <v>25817.399999999998</v>
      </c>
      <c r="E35" s="21">
        <f t="shared" ref="E35:I35" si="13">E34*$D$5</f>
        <v>26456.787</v>
      </c>
      <c r="F35" s="21">
        <f t="shared" si="13"/>
        <v>24906.977234999995</v>
      </c>
      <c r="G35" s="21">
        <f t="shared" si="13"/>
        <v>27783.360342674994</v>
      </c>
      <c r="H35" s="21">
        <f t="shared" si="13"/>
        <v>27421.335538345862</v>
      </c>
      <c r="I35" s="21">
        <f t="shared" si="13"/>
        <v>29176.311849521633</v>
      </c>
      <c r="J35" s="21">
        <f>J34*$D$5</f>
        <v>29898.708356158302</v>
      </c>
      <c r="K35" s="21">
        <f>(K29-K33)*$D$5+M13</f>
        <v>133158.76853988561</v>
      </c>
      <c r="L35" s="7"/>
    </row>
    <row r="36" spans="2:12" ht="15.75" x14ac:dyDescent="0.3">
      <c r="B36" s="50" t="s">
        <v>33</v>
      </c>
      <c r="C36" s="52">
        <f>C32</f>
        <v>-1500000</v>
      </c>
      <c r="D36" s="49">
        <f>D34-D35+D33</f>
        <v>97122.6</v>
      </c>
      <c r="E36" s="49">
        <f t="shared" ref="E36:K36" si="14">E34-E35+E33</f>
        <v>99527.913000000015</v>
      </c>
      <c r="F36" s="49">
        <f t="shared" si="14"/>
        <v>93697.676264999973</v>
      </c>
      <c r="G36" s="49">
        <f t="shared" si="14"/>
        <v>104518.35557482498</v>
      </c>
      <c r="H36" s="49">
        <f t="shared" si="14"/>
        <v>103156.45273949159</v>
      </c>
      <c r="I36" s="49">
        <f t="shared" si="14"/>
        <v>109758.50648153377</v>
      </c>
      <c r="J36" s="49">
        <f t="shared" si="14"/>
        <v>112476.09333983362</v>
      </c>
      <c r="K36" s="49">
        <f t="shared" si="14"/>
        <v>2000930.60545957</v>
      </c>
    </row>
    <row r="42" spans="2:12" x14ac:dyDescent="0.25">
      <c r="B42" t="s">
        <v>36</v>
      </c>
    </row>
    <row r="43" spans="2:12" x14ac:dyDescent="0.25">
      <c r="B43" t="s">
        <v>35</v>
      </c>
    </row>
    <row r="44" spans="2:12" x14ac:dyDescent="0.25">
      <c r="B44" t="s">
        <v>34</v>
      </c>
    </row>
    <row r="46" spans="2:12" ht="15.75" x14ac:dyDescent="0.3">
      <c r="B46" s="85" t="s">
        <v>3</v>
      </c>
      <c r="C46" s="85"/>
      <c r="D46" s="85"/>
      <c r="E46" s="85"/>
      <c r="F46" s="85"/>
      <c r="G46" s="85"/>
      <c r="H46" s="85"/>
    </row>
    <row r="47" spans="2:12" ht="15.75" x14ac:dyDescent="0.25">
      <c r="C47" s="33"/>
      <c r="D47" s="33"/>
      <c r="E47" s="33"/>
      <c r="F47" s="34" t="s">
        <v>31</v>
      </c>
      <c r="G47" s="33"/>
      <c r="H47" s="33"/>
    </row>
    <row r="48" spans="2:12" ht="15.75" x14ac:dyDescent="0.3">
      <c r="B48" s="87" t="s">
        <v>46</v>
      </c>
      <c r="C48" s="35">
        <f>M3</f>
        <v>336666.91182105895</v>
      </c>
      <c r="D48" s="36">
        <v>1.4999999999999999E-2</v>
      </c>
      <c r="E48" s="36">
        <v>0.02</v>
      </c>
      <c r="F48" s="36">
        <v>2.5000000000000001E-2</v>
      </c>
      <c r="G48" s="36">
        <v>0.03</v>
      </c>
      <c r="H48" s="36">
        <v>3.5000000000000003E-2</v>
      </c>
    </row>
    <row r="49" spans="2:8" ht="15.75" x14ac:dyDescent="0.3">
      <c r="B49" s="87"/>
      <c r="C49" s="39">
        <v>0.10299999999999999</v>
      </c>
      <c r="D49" s="8">
        <f t="dataTable" ref="D49:H53" dt2D="1" dtr="1" r1="H8" r2="D12"/>
        <v>187008.49498719187</v>
      </c>
      <c r="E49" s="8">
        <v>240218.26050500548</v>
      </c>
      <c r="F49" s="8">
        <v>295093.21745577897</v>
      </c>
      <c r="G49" s="8">
        <v>351680.27034128061</v>
      </c>
      <c r="H49" s="37">
        <v>410027.44384395331</v>
      </c>
    </row>
    <row r="50" spans="2:8" ht="15.75" x14ac:dyDescent="0.3">
      <c r="B50" s="87"/>
      <c r="C50" s="39">
        <v>9.2999999999999999E-2</v>
      </c>
      <c r="D50" s="8">
        <v>206942.70372655359</v>
      </c>
      <c r="E50" s="13">
        <v>260745.66618436482</v>
      </c>
      <c r="F50" s="13">
        <v>316232.38408219232</v>
      </c>
      <c r="G50" s="13">
        <v>373450.2848259497</v>
      </c>
      <c r="H50" s="8">
        <v>432447.92849030229</v>
      </c>
    </row>
    <row r="51" spans="2:8" ht="15.75" x14ac:dyDescent="0.3">
      <c r="B51" s="87"/>
      <c r="C51" s="39">
        <v>8.3000000000000004E-2</v>
      </c>
      <c r="D51" s="8">
        <v>226876.91246591462</v>
      </c>
      <c r="E51" s="13">
        <v>281273.07186372392</v>
      </c>
      <c r="F51" s="14">
        <v>337371.55070860591</v>
      </c>
      <c r="G51" s="13">
        <v>395220.29931061855</v>
      </c>
      <c r="H51" s="8">
        <v>454868.41313665104</v>
      </c>
    </row>
    <row r="52" spans="2:8" ht="15.75" x14ac:dyDescent="0.3">
      <c r="B52" s="87"/>
      <c r="C52" s="39">
        <v>7.2999999999999995E-2</v>
      </c>
      <c r="D52" s="8">
        <v>246811.12120527634</v>
      </c>
      <c r="E52" s="13">
        <v>301800.47754308325</v>
      </c>
      <c r="F52" s="13">
        <v>358510.71733501996</v>
      </c>
      <c r="G52" s="13">
        <v>416990.31379528739</v>
      </c>
      <c r="H52" s="8">
        <v>477288.89778299979</v>
      </c>
    </row>
    <row r="53" spans="2:8" ht="15.75" x14ac:dyDescent="0.3">
      <c r="C53" s="39">
        <v>6.3E-2</v>
      </c>
      <c r="D53" s="38">
        <v>266745.32994463737</v>
      </c>
      <c r="E53" s="8">
        <v>322327.88322244259</v>
      </c>
      <c r="F53" s="8">
        <v>379649.88396143331</v>
      </c>
      <c r="G53" s="8">
        <v>438760.32827995624</v>
      </c>
      <c r="H53" s="8">
        <v>499709.3824293483</v>
      </c>
    </row>
  </sheetData>
  <mergeCells count="5">
    <mergeCell ref="L7:M7"/>
    <mergeCell ref="D17:K17"/>
    <mergeCell ref="A28:A32"/>
    <mergeCell ref="B46:H46"/>
    <mergeCell ref="B48:B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6AD7-74BD-49A3-A3D1-C4C21493A90B}">
  <dimension ref="A1:U47"/>
  <sheetViews>
    <sheetView showGridLines="0" tabSelected="1" zoomScaleNormal="100" workbookViewId="0">
      <selection activeCell="F6" sqref="F6"/>
    </sheetView>
  </sheetViews>
  <sheetFormatPr defaultRowHeight="15" x14ac:dyDescent="0.25"/>
  <cols>
    <col min="1" max="1" width="2.85546875" customWidth="1"/>
    <col min="2" max="2" width="40.28515625" bestFit="1" customWidth="1"/>
    <col min="3" max="6" width="13.7109375" customWidth="1"/>
    <col min="7" max="7" width="17.42578125" customWidth="1"/>
    <col min="8" max="8" width="14.28515625" bestFit="1" customWidth="1"/>
    <col min="9" max="11" width="13.7109375" customWidth="1"/>
    <col min="12" max="12" width="18.28515625" bestFit="1" customWidth="1"/>
    <col min="13" max="14" width="13.7109375" customWidth="1"/>
    <col min="15" max="15" width="11" bestFit="1" customWidth="1"/>
    <col min="19" max="19" width="31.7109375" bestFit="1" customWidth="1"/>
    <col min="20" max="20" width="17.5703125" bestFit="1" customWidth="1"/>
    <col min="21" max="21" width="12.85546875" bestFit="1" customWidth="1"/>
    <col min="23" max="23" width="17.5703125" bestFit="1" customWidth="1"/>
  </cols>
  <sheetData>
    <row r="1" spans="2:13" x14ac:dyDescent="0.25">
      <c r="B1" s="2"/>
    </row>
    <row r="2" spans="2:13" ht="15.75" x14ac:dyDescent="0.3">
      <c r="B2" s="11" t="s">
        <v>0</v>
      </c>
      <c r="C2" s="11"/>
      <c r="D2" s="11"/>
      <c r="F2" s="85" t="s">
        <v>61</v>
      </c>
      <c r="G2" s="85"/>
      <c r="H2" s="85"/>
      <c r="J2" s="11" t="s">
        <v>24</v>
      </c>
      <c r="K2" s="11"/>
    </row>
    <row r="3" spans="2:13" ht="15.75" x14ac:dyDescent="0.3">
      <c r="B3" t="s">
        <v>10</v>
      </c>
      <c r="D3" s="45">
        <v>23500000</v>
      </c>
      <c r="F3" t="s">
        <v>62</v>
      </c>
      <c r="H3" s="44">
        <v>83.5</v>
      </c>
      <c r="J3" s="5" t="s">
        <v>54</v>
      </c>
      <c r="K3" s="5">
        <f>NPV(D6,D26:M26)+C26</f>
        <v>110743.80833297595</v>
      </c>
      <c r="M3" t="s">
        <v>104</v>
      </c>
    </row>
    <row r="4" spans="2:13" ht="15.75" x14ac:dyDescent="0.3">
      <c r="B4" t="s">
        <v>63</v>
      </c>
      <c r="D4" s="45">
        <v>170</v>
      </c>
      <c r="F4" t="s">
        <v>57</v>
      </c>
      <c r="H4" s="44">
        <f>H3*D7</f>
        <v>1169000</v>
      </c>
      <c r="J4" s="4" t="s">
        <v>55</v>
      </c>
      <c r="K4" s="32">
        <f>IRR(C26:M26)</f>
        <v>0.12074895762572813</v>
      </c>
    </row>
    <row r="5" spans="2:13" ht="15.75" x14ac:dyDescent="0.3">
      <c r="B5" t="s">
        <v>58</v>
      </c>
      <c r="D5" s="41">
        <v>2.5000000000000001E-2</v>
      </c>
      <c r="J5" t="s">
        <v>47</v>
      </c>
      <c r="K5" s="32">
        <f>D23/-C12</f>
        <v>0.10127659574468086</v>
      </c>
    </row>
    <row r="6" spans="2:13" x14ac:dyDescent="0.25">
      <c r="B6" t="s">
        <v>44</v>
      </c>
      <c r="D6" s="41">
        <v>0.12</v>
      </c>
    </row>
    <row r="7" spans="2:13" x14ac:dyDescent="0.25">
      <c r="B7" t="s">
        <v>11</v>
      </c>
      <c r="D7" s="59">
        <v>14000</v>
      </c>
    </row>
    <row r="9" spans="2:13" x14ac:dyDescent="0.25">
      <c r="M9" s="7"/>
    </row>
    <row r="10" spans="2:13" ht="15.75" x14ac:dyDescent="0.3">
      <c r="C10" s="55" t="s">
        <v>2</v>
      </c>
      <c r="D10" s="94" t="s">
        <v>49</v>
      </c>
      <c r="E10" s="95"/>
      <c r="F10" s="95"/>
      <c r="G10" s="95"/>
      <c r="H10" s="95"/>
      <c r="I10" s="95"/>
      <c r="J10" s="95"/>
      <c r="K10" s="95"/>
      <c r="L10" s="95"/>
      <c r="M10" s="95"/>
    </row>
    <row r="11" spans="2:13" ht="15.75" x14ac:dyDescent="0.3">
      <c r="B11" s="18" t="s">
        <v>1</v>
      </c>
      <c r="C11" s="56">
        <v>0</v>
      </c>
      <c r="D11" s="56">
        <v>1</v>
      </c>
      <c r="E11" s="56">
        <v>2</v>
      </c>
      <c r="F11" s="56">
        <v>3</v>
      </c>
      <c r="G11" s="56">
        <v>4</v>
      </c>
      <c r="H11" s="56">
        <v>5</v>
      </c>
      <c r="I11" s="56">
        <v>6</v>
      </c>
      <c r="J11" s="56">
        <v>7</v>
      </c>
      <c r="K11" s="56">
        <v>8</v>
      </c>
      <c r="L11" s="56">
        <v>9</v>
      </c>
      <c r="M11" s="56">
        <v>10</v>
      </c>
    </row>
    <row r="12" spans="2:13" ht="15.75" x14ac:dyDescent="0.3">
      <c r="B12" s="6" t="s">
        <v>10</v>
      </c>
      <c r="C12" s="20">
        <f>-D3</f>
        <v>-23500000</v>
      </c>
      <c r="D12" s="21"/>
      <c r="E12" s="12"/>
      <c r="F12" s="12"/>
      <c r="G12" s="12"/>
      <c r="H12" s="12"/>
      <c r="I12" s="12"/>
      <c r="J12" s="12"/>
      <c r="K12" s="12"/>
      <c r="M12" s="7"/>
    </row>
    <row r="13" spans="2:13" ht="15.75" x14ac:dyDescent="0.3">
      <c r="B13" s="6" t="s">
        <v>63</v>
      </c>
      <c r="C13" s="21">
        <v>170</v>
      </c>
      <c r="D13" s="21">
        <f>$D$4</f>
        <v>170</v>
      </c>
      <c r="E13" s="21">
        <f t="shared" ref="E13:H13" si="0">$D$4</f>
        <v>170</v>
      </c>
      <c r="F13" s="21">
        <f t="shared" si="0"/>
        <v>170</v>
      </c>
      <c r="G13" s="21">
        <f t="shared" si="0"/>
        <v>170</v>
      </c>
      <c r="H13" s="21">
        <f t="shared" si="0"/>
        <v>170</v>
      </c>
      <c r="I13" s="21">
        <f>$I$14</f>
        <v>208.74481527832017</v>
      </c>
      <c r="J13" s="21">
        <f t="shared" ref="J13:M13" si="1">$I$14</f>
        <v>208.74481527832017</v>
      </c>
      <c r="K13" s="21">
        <f t="shared" si="1"/>
        <v>208.74481527832017</v>
      </c>
      <c r="L13" s="21">
        <f t="shared" si="1"/>
        <v>208.74481527832017</v>
      </c>
      <c r="M13" s="21">
        <f t="shared" si="1"/>
        <v>208.74481527832017</v>
      </c>
    </row>
    <row r="14" spans="2:13" ht="15.75" x14ac:dyDescent="0.3">
      <c r="B14" s="6" t="s">
        <v>64</v>
      </c>
      <c r="C14" s="21">
        <v>180</v>
      </c>
      <c r="D14" s="21">
        <f>C14*1.025</f>
        <v>184.49999999999997</v>
      </c>
      <c r="E14" s="21">
        <f t="shared" ref="E14:M14" si="2">D14*1.025</f>
        <v>189.11249999999995</v>
      </c>
      <c r="F14" s="21">
        <f t="shared" si="2"/>
        <v>193.84031249999992</v>
      </c>
      <c r="G14" s="21">
        <f t="shared" si="2"/>
        <v>198.6863203124999</v>
      </c>
      <c r="H14" s="21">
        <f t="shared" si="2"/>
        <v>203.65347832031239</v>
      </c>
      <c r="I14" s="21">
        <f t="shared" si="2"/>
        <v>208.74481527832017</v>
      </c>
      <c r="J14" s="21">
        <f t="shared" si="2"/>
        <v>213.96343566027815</v>
      </c>
      <c r="K14" s="21">
        <f t="shared" si="2"/>
        <v>219.3125215517851</v>
      </c>
      <c r="L14" s="21">
        <f t="shared" si="2"/>
        <v>224.7953345905797</v>
      </c>
      <c r="M14" s="21">
        <f t="shared" si="2"/>
        <v>230.41521795534416</v>
      </c>
    </row>
    <row r="15" spans="2:13" ht="15.75" x14ac:dyDescent="0.3">
      <c r="B15" s="58" t="s">
        <v>12</v>
      </c>
      <c r="C15" s="23"/>
      <c r="D15" s="23">
        <f>($D$7*D13)</f>
        <v>2380000</v>
      </c>
      <c r="E15" s="23">
        <f t="shared" ref="E15:M15" si="3">($D$7*E13)</f>
        <v>2380000</v>
      </c>
      <c r="F15" s="23">
        <f t="shared" si="3"/>
        <v>2380000</v>
      </c>
      <c r="G15" s="23">
        <f t="shared" si="3"/>
        <v>2380000</v>
      </c>
      <c r="H15" s="23">
        <f t="shared" si="3"/>
        <v>2380000</v>
      </c>
      <c r="I15" s="23">
        <f t="shared" si="3"/>
        <v>2922427.4138964824</v>
      </c>
      <c r="J15" s="23">
        <f t="shared" si="3"/>
        <v>2922427.4138964824</v>
      </c>
      <c r="K15" s="23">
        <f t="shared" si="3"/>
        <v>2922427.4138964824</v>
      </c>
      <c r="L15" s="23">
        <f t="shared" si="3"/>
        <v>2922427.4138964824</v>
      </c>
      <c r="M15" s="23">
        <f t="shared" si="3"/>
        <v>2922427.4138964824</v>
      </c>
    </row>
    <row r="16" spans="2:13" ht="15.75" x14ac:dyDescent="0.3">
      <c r="B16" s="54" t="s">
        <v>18</v>
      </c>
      <c r="C16" s="21"/>
      <c r="D16" s="21"/>
      <c r="E16" s="21"/>
      <c r="F16" s="21"/>
      <c r="G16" s="21"/>
      <c r="H16" s="21"/>
      <c r="I16" s="21">
        <f>I15*-0.5</f>
        <v>-1461213.7069482412</v>
      </c>
      <c r="J16" s="21"/>
      <c r="K16" s="21"/>
      <c r="L16" s="21"/>
      <c r="M16" s="21"/>
    </row>
    <row r="17" spans="1:21" ht="15.75" x14ac:dyDescent="0.3">
      <c r="B17" s="58" t="s">
        <v>14</v>
      </c>
      <c r="C17" s="23">
        <f>C15+C16</f>
        <v>0</v>
      </c>
      <c r="D17" s="23">
        <f>D15+D16</f>
        <v>2380000</v>
      </c>
      <c r="E17" s="23">
        <f t="shared" ref="E17:M17" si="4">E15+E16</f>
        <v>2380000</v>
      </c>
      <c r="F17" s="23">
        <f t="shared" si="4"/>
        <v>2380000</v>
      </c>
      <c r="G17" s="23">
        <f t="shared" si="4"/>
        <v>2380000</v>
      </c>
      <c r="H17" s="23">
        <f t="shared" si="4"/>
        <v>2380000</v>
      </c>
      <c r="I17" s="23">
        <f t="shared" si="4"/>
        <v>1461213.7069482412</v>
      </c>
      <c r="J17" s="23">
        <f t="shared" si="4"/>
        <v>2922427.4138964824</v>
      </c>
      <c r="K17" s="23">
        <f t="shared" si="4"/>
        <v>2922427.4138964824</v>
      </c>
      <c r="L17" s="23">
        <f t="shared" si="4"/>
        <v>2922427.4138964824</v>
      </c>
      <c r="M17" s="23">
        <f t="shared" si="4"/>
        <v>2922427.4138964824</v>
      </c>
    </row>
    <row r="18" spans="1:21" ht="15.75" x14ac:dyDescent="0.3">
      <c r="B18" s="17" t="s">
        <v>15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Q18" s="4"/>
      <c r="U18" s="15"/>
    </row>
    <row r="19" spans="1:21" ht="15.75" x14ac:dyDescent="0.3">
      <c r="B19" s="48" t="s">
        <v>16</v>
      </c>
      <c r="C19" s="51">
        <f>C17+C18</f>
        <v>0</v>
      </c>
      <c r="D19" s="51">
        <f>D17+D18</f>
        <v>2380000</v>
      </c>
      <c r="E19" s="51">
        <f t="shared" ref="E19:M19" si="5">E17+E18</f>
        <v>2380000</v>
      </c>
      <c r="F19" s="51">
        <f t="shared" si="5"/>
        <v>2380000</v>
      </c>
      <c r="G19" s="51">
        <f t="shared" si="5"/>
        <v>2380000</v>
      </c>
      <c r="H19" s="51">
        <f t="shared" si="5"/>
        <v>2380000</v>
      </c>
      <c r="I19" s="51">
        <f t="shared" si="5"/>
        <v>1461213.7069482412</v>
      </c>
      <c r="J19" s="51">
        <f t="shared" si="5"/>
        <v>2922427.4138964824</v>
      </c>
      <c r="K19" s="51">
        <f t="shared" si="5"/>
        <v>2922427.4138964824</v>
      </c>
      <c r="L19" s="51">
        <f t="shared" si="5"/>
        <v>2922427.4138964824</v>
      </c>
      <c r="M19" s="51">
        <f t="shared" si="5"/>
        <v>2922427.4138964824</v>
      </c>
      <c r="U19" s="1"/>
    </row>
    <row r="20" spans="1:21" ht="15.75" customHeight="1" x14ac:dyDescent="0.3">
      <c r="B20" s="6" t="s">
        <v>59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21" ht="15.75" customHeight="1" x14ac:dyDescent="0.3">
      <c r="B21" s="6" t="s">
        <v>17</v>
      </c>
      <c r="C21" s="7"/>
      <c r="D21" s="7"/>
      <c r="E21" s="7"/>
      <c r="F21" s="7"/>
      <c r="G21" s="7"/>
      <c r="H21" s="7"/>
      <c r="I21" s="23"/>
      <c r="J21" s="7"/>
      <c r="K21" s="7"/>
      <c r="U21" s="15"/>
    </row>
    <row r="22" spans="1:21" ht="15.75" x14ac:dyDescent="0.3">
      <c r="A22" s="86"/>
      <c r="B22" s="57" t="s">
        <v>19</v>
      </c>
      <c r="C22" s="23"/>
      <c r="D22" s="23">
        <f>D20+D21</f>
        <v>0</v>
      </c>
      <c r="E22" s="23">
        <f t="shared" ref="E22:M22" si="6">E20+E21</f>
        <v>0</v>
      </c>
      <c r="F22" s="23">
        <f t="shared" si="6"/>
        <v>0</v>
      </c>
      <c r="G22" s="23">
        <f t="shared" si="6"/>
        <v>0</v>
      </c>
      <c r="H22" s="23">
        <f t="shared" si="6"/>
        <v>0</v>
      </c>
      <c r="I22" s="23">
        <f t="shared" si="6"/>
        <v>0</v>
      </c>
      <c r="J22" s="23">
        <f t="shared" si="6"/>
        <v>0</v>
      </c>
      <c r="K22" s="23">
        <f t="shared" si="6"/>
        <v>0</v>
      </c>
      <c r="L22" s="23">
        <f t="shared" si="6"/>
        <v>0</v>
      </c>
      <c r="M22" s="23">
        <f t="shared" si="6"/>
        <v>0</v>
      </c>
      <c r="U22" s="15"/>
    </row>
    <row r="23" spans="1:21" ht="15.75" x14ac:dyDescent="0.3">
      <c r="A23" s="86"/>
      <c r="B23" s="50" t="s">
        <v>51</v>
      </c>
      <c r="C23" s="51">
        <f t="shared" ref="C23" si="7">C19+C22</f>
        <v>0</v>
      </c>
      <c r="D23" s="51">
        <f>D19+D22</f>
        <v>2380000</v>
      </c>
      <c r="E23" s="51">
        <f t="shared" ref="E23:M23" si="8">E19+E22</f>
        <v>2380000</v>
      </c>
      <c r="F23" s="51">
        <f t="shared" si="8"/>
        <v>2380000</v>
      </c>
      <c r="G23" s="51">
        <f t="shared" si="8"/>
        <v>2380000</v>
      </c>
      <c r="H23" s="51">
        <f t="shared" si="8"/>
        <v>2380000</v>
      </c>
      <c r="I23" s="51">
        <f t="shared" si="8"/>
        <v>1461213.7069482412</v>
      </c>
      <c r="J23" s="51">
        <f t="shared" si="8"/>
        <v>2922427.4138964824</v>
      </c>
      <c r="K23" s="51">
        <f t="shared" si="8"/>
        <v>2922427.4138964824</v>
      </c>
      <c r="L23" s="51">
        <f t="shared" si="8"/>
        <v>2922427.4138964824</v>
      </c>
      <c r="M23" s="51">
        <f t="shared" si="8"/>
        <v>2922427.4138964824</v>
      </c>
    </row>
    <row r="24" spans="1:21" ht="15.75" x14ac:dyDescent="0.3">
      <c r="A24" s="86"/>
      <c r="B24" s="6" t="s">
        <v>60</v>
      </c>
      <c r="C24" s="7"/>
      <c r="D24" s="21"/>
      <c r="E24" s="21"/>
      <c r="F24" s="21"/>
      <c r="G24" s="21"/>
      <c r="H24" s="21"/>
      <c r="I24" s="21"/>
      <c r="J24" s="21"/>
      <c r="K24" s="21"/>
      <c r="M24" s="60">
        <f>M14*D7*10</f>
        <v>32258130.513748184</v>
      </c>
    </row>
    <row r="25" spans="1:21" ht="15.75" x14ac:dyDescent="0.3">
      <c r="A25" s="86"/>
      <c r="B25" s="22" t="s">
        <v>21</v>
      </c>
      <c r="C25" s="7"/>
      <c r="D25" s="21"/>
      <c r="E25" s="21"/>
      <c r="F25" s="21"/>
      <c r="G25" s="21"/>
      <c r="H25" s="21"/>
      <c r="I25" s="21">
        <f>-H4</f>
        <v>-1169000</v>
      </c>
      <c r="J25" s="21"/>
      <c r="K25" s="21"/>
    </row>
    <row r="26" spans="1:21" ht="15.75" x14ac:dyDescent="0.3">
      <c r="A26" s="86"/>
      <c r="B26" s="50" t="s">
        <v>53</v>
      </c>
      <c r="C26" s="52">
        <f>C12</f>
        <v>-23500000</v>
      </c>
      <c r="D26" s="49">
        <f>D23+D24+D25</f>
        <v>2380000</v>
      </c>
      <c r="E26" s="49">
        <f t="shared" ref="E26:L26" si="9">E23+E24+E25</f>
        <v>2380000</v>
      </c>
      <c r="F26" s="49">
        <f t="shared" si="9"/>
        <v>2380000</v>
      </c>
      <c r="G26" s="49">
        <f t="shared" si="9"/>
        <v>2380000</v>
      </c>
      <c r="H26" s="49">
        <f>H23+H24+H25</f>
        <v>2380000</v>
      </c>
      <c r="I26" s="49">
        <f t="shared" si="9"/>
        <v>292213.70694824122</v>
      </c>
      <c r="J26" s="49">
        <f t="shared" si="9"/>
        <v>2922427.4138964824</v>
      </c>
      <c r="K26" s="49">
        <f>K23+K24+K25</f>
        <v>2922427.4138964824</v>
      </c>
      <c r="L26" s="49">
        <f t="shared" si="9"/>
        <v>2922427.4138964824</v>
      </c>
      <c r="M26" s="49">
        <f>M23+M24+M25</f>
        <v>35180557.92764467</v>
      </c>
    </row>
    <row r="28" spans="1:21" x14ac:dyDescent="0.25">
      <c r="L28" s="7"/>
    </row>
    <row r="29" spans="1:21" x14ac:dyDescent="0.25">
      <c r="L29" s="7"/>
    </row>
    <row r="36" spans="2:8" x14ac:dyDescent="0.25">
      <c r="B36" t="s">
        <v>36</v>
      </c>
    </row>
    <row r="37" spans="2:8" x14ac:dyDescent="0.25">
      <c r="B37" t="s">
        <v>35</v>
      </c>
    </row>
    <row r="38" spans="2:8" x14ac:dyDescent="0.25">
      <c r="B38" t="s">
        <v>34</v>
      </c>
    </row>
    <row r="40" spans="2:8" ht="15.75" x14ac:dyDescent="0.3">
      <c r="B40" s="11" t="s">
        <v>3</v>
      </c>
      <c r="C40" s="11"/>
      <c r="D40" s="11"/>
      <c r="E40" s="11"/>
      <c r="F40" s="11"/>
      <c r="G40" s="11"/>
      <c r="H40" s="11"/>
    </row>
    <row r="41" spans="2:8" ht="15.75" x14ac:dyDescent="0.25">
      <c r="C41" s="33"/>
      <c r="D41" s="33"/>
      <c r="E41" s="33"/>
      <c r="F41" s="34" t="s">
        <v>31</v>
      </c>
      <c r="G41" s="33"/>
      <c r="H41" s="33"/>
    </row>
    <row r="42" spans="2:8" ht="15.75" x14ac:dyDescent="0.3">
      <c r="B42" s="87" t="s">
        <v>46</v>
      </c>
      <c r="C42" s="35">
        <f>K3</f>
        <v>110743.80833297595</v>
      </c>
      <c r="D42" s="36">
        <v>1.4999999999999999E-2</v>
      </c>
      <c r="E42" s="36">
        <v>0.02</v>
      </c>
      <c r="F42" s="36">
        <v>2.5000000000000001E-2</v>
      </c>
      <c r="G42" s="36">
        <v>0.03</v>
      </c>
      <c r="H42" s="36">
        <v>3.5000000000000003E-2</v>
      </c>
    </row>
    <row r="43" spans="2:8" ht="15.75" x14ac:dyDescent="0.3">
      <c r="B43" s="87"/>
      <c r="C43" s="39">
        <v>0.10299999999999999</v>
      </c>
      <c r="D43" s="8">
        <f t="dataTable" ref="D43:H47" dt2D="1" dtr="1" r1="H6" r2="D8"/>
        <v>110743.80833297595</v>
      </c>
      <c r="E43" s="8">
        <v>110743.80833297595</v>
      </c>
      <c r="F43" s="8">
        <v>110743.80833297595</v>
      </c>
      <c r="G43" s="8">
        <v>110743.80833297595</v>
      </c>
      <c r="H43" s="37">
        <v>110743.80833297595</v>
      </c>
    </row>
    <row r="44" spans="2:8" ht="15.75" x14ac:dyDescent="0.3">
      <c r="B44" s="87"/>
      <c r="C44" s="39">
        <v>9.2999999999999999E-2</v>
      </c>
      <c r="D44" s="8">
        <v>110743.80833297595</v>
      </c>
      <c r="E44" s="13">
        <v>110743.80833297595</v>
      </c>
      <c r="F44" s="13">
        <v>110743.80833297595</v>
      </c>
      <c r="G44" s="13">
        <v>110743.80833297595</v>
      </c>
      <c r="H44" s="8">
        <v>110743.80833297595</v>
      </c>
    </row>
    <row r="45" spans="2:8" ht="15.75" x14ac:dyDescent="0.3">
      <c r="B45" s="87"/>
      <c r="C45" s="39">
        <v>8.3000000000000004E-2</v>
      </c>
      <c r="D45" s="8">
        <v>110743.80833297595</v>
      </c>
      <c r="E45" s="13">
        <v>110743.80833297595</v>
      </c>
      <c r="F45" s="14">
        <v>110743.80833297595</v>
      </c>
      <c r="G45" s="13">
        <v>110743.80833297595</v>
      </c>
      <c r="H45" s="8">
        <v>110743.80833297595</v>
      </c>
    </row>
    <row r="46" spans="2:8" ht="15.75" x14ac:dyDescent="0.3">
      <c r="B46" s="87"/>
      <c r="C46" s="39">
        <v>7.2999999999999995E-2</v>
      </c>
      <c r="D46" s="8">
        <v>110743.80833297595</v>
      </c>
      <c r="E46" s="13">
        <v>110743.80833297595</v>
      </c>
      <c r="F46" s="13">
        <v>110743.80833297595</v>
      </c>
      <c r="G46" s="13">
        <v>110743.80833297595</v>
      </c>
      <c r="H46" s="8">
        <v>110743.80833297595</v>
      </c>
    </row>
    <row r="47" spans="2:8" ht="15.75" x14ac:dyDescent="0.3">
      <c r="C47" s="39">
        <v>6.3E-2</v>
      </c>
      <c r="D47" s="38">
        <v>110743.80833297595</v>
      </c>
      <c r="E47" s="8">
        <v>110743.80833297595</v>
      </c>
      <c r="F47" s="8">
        <v>110743.80833297595</v>
      </c>
      <c r="G47" s="8">
        <v>110743.80833297595</v>
      </c>
      <c r="H47" s="8">
        <v>110743.80833297595</v>
      </c>
    </row>
  </sheetData>
  <mergeCells count="4">
    <mergeCell ref="A22:A26"/>
    <mergeCell ref="B42:B46"/>
    <mergeCell ref="D10:M10"/>
    <mergeCell ref="F2:H2"/>
  </mergeCells>
  <conditionalFormatting sqref="K3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8DC3-2757-4F83-A8AF-73F0DDBAD5EA}">
  <dimension ref="A1:U47"/>
  <sheetViews>
    <sheetView showGridLines="0" zoomScaleNormal="100" workbookViewId="0">
      <selection activeCell="K5" sqref="K5"/>
    </sheetView>
  </sheetViews>
  <sheetFormatPr defaultRowHeight="15" x14ac:dyDescent="0.25"/>
  <cols>
    <col min="1" max="1" width="2.85546875" customWidth="1"/>
    <col min="2" max="2" width="40.28515625" bestFit="1" customWidth="1"/>
    <col min="3" max="6" width="13.7109375" customWidth="1"/>
    <col min="7" max="7" width="17.42578125" customWidth="1"/>
    <col min="8" max="8" width="14.28515625" bestFit="1" customWidth="1"/>
    <col min="9" max="11" width="13.7109375" customWidth="1"/>
    <col min="12" max="12" width="18.28515625" bestFit="1" customWidth="1"/>
    <col min="13" max="14" width="13.7109375" customWidth="1"/>
    <col min="15" max="15" width="11" bestFit="1" customWidth="1"/>
    <col min="19" max="19" width="31.7109375" bestFit="1" customWidth="1"/>
    <col min="20" max="20" width="17.5703125" bestFit="1" customWidth="1"/>
    <col min="21" max="21" width="12.85546875" bestFit="1" customWidth="1"/>
    <col min="23" max="23" width="17.5703125" bestFit="1" customWidth="1"/>
  </cols>
  <sheetData>
    <row r="1" spans="2:13" x14ac:dyDescent="0.25">
      <c r="B1" s="2"/>
    </row>
    <row r="2" spans="2:13" ht="15.75" x14ac:dyDescent="0.3">
      <c r="B2" s="11" t="s">
        <v>0</v>
      </c>
      <c r="C2" s="11"/>
      <c r="D2" s="11"/>
      <c r="F2" s="85" t="s">
        <v>61</v>
      </c>
      <c r="G2" s="85"/>
      <c r="H2" s="85"/>
      <c r="J2" s="11" t="s">
        <v>24</v>
      </c>
      <c r="K2" s="11"/>
    </row>
    <row r="3" spans="2:13" ht="15.75" x14ac:dyDescent="0.3">
      <c r="B3" t="s">
        <v>10</v>
      </c>
      <c r="D3" s="45">
        <v>23500000</v>
      </c>
      <c r="F3" t="s">
        <v>65</v>
      </c>
      <c r="H3" s="44">
        <v>83.5</v>
      </c>
      <c r="J3" s="5" t="s">
        <v>67</v>
      </c>
      <c r="K3" s="61">
        <f>NPV(D6,D26:M26)</f>
        <v>18375091.585856203</v>
      </c>
    </row>
    <row r="4" spans="2:13" ht="15.75" x14ac:dyDescent="0.3">
      <c r="B4" t="s">
        <v>63</v>
      </c>
      <c r="D4" s="45">
        <v>170</v>
      </c>
      <c r="F4" t="s">
        <v>66</v>
      </c>
      <c r="H4" s="44">
        <f>H3*D7</f>
        <v>1169000</v>
      </c>
      <c r="J4" s="5" t="s">
        <v>54</v>
      </c>
      <c r="K4" s="5">
        <f>NPV(D6,D26:M26)+C26</f>
        <v>-5124908.414143797</v>
      </c>
      <c r="M4" t="s">
        <v>68</v>
      </c>
    </row>
    <row r="5" spans="2:13" ht="15.75" x14ac:dyDescent="0.3">
      <c r="B5" t="s">
        <v>58</v>
      </c>
      <c r="D5" s="41">
        <v>2.5000000000000001E-2</v>
      </c>
      <c r="J5" s="4" t="s">
        <v>55</v>
      </c>
      <c r="K5" s="32">
        <f>IRR(C26:M26)</f>
        <v>8.3437837570142337E-2</v>
      </c>
    </row>
    <row r="6" spans="2:13" ht="15.75" x14ac:dyDescent="0.3">
      <c r="B6" t="s">
        <v>44</v>
      </c>
      <c r="D6" s="41">
        <v>0.12</v>
      </c>
      <c r="J6" s="4" t="s">
        <v>47</v>
      </c>
      <c r="K6" s="32">
        <f>D23/-C12</f>
        <v>0.10127659574468086</v>
      </c>
    </row>
    <row r="7" spans="2:13" x14ac:dyDescent="0.25">
      <c r="B7" t="s">
        <v>11</v>
      </c>
      <c r="D7" s="59">
        <v>14000</v>
      </c>
    </row>
    <row r="9" spans="2:13" x14ac:dyDescent="0.25">
      <c r="M9" s="7"/>
    </row>
    <row r="10" spans="2:13" ht="15.75" x14ac:dyDescent="0.3">
      <c r="C10" s="55" t="s">
        <v>2</v>
      </c>
      <c r="D10" s="94" t="s">
        <v>49</v>
      </c>
      <c r="E10" s="95"/>
      <c r="F10" s="95"/>
      <c r="G10" s="95"/>
      <c r="H10" s="95"/>
      <c r="I10" s="95"/>
      <c r="J10" s="95"/>
      <c r="K10" s="95"/>
      <c r="L10" s="95"/>
      <c r="M10" s="95"/>
    </row>
    <row r="11" spans="2:13" ht="15.75" x14ac:dyDescent="0.3">
      <c r="B11" s="18" t="s">
        <v>1</v>
      </c>
      <c r="C11" s="56">
        <v>0</v>
      </c>
      <c r="D11" s="56">
        <v>1</v>
      </c>
      <c r="E11" s="56">
        <v>2</v>
      </c>
      <c r="F11" s="56">
        <v>3</v>
      </c>
      <c r="G11" s="56">
        <v>4</v>
      </c>
      <c r="H11" s="56">
        <v>5</v>
      </c>
      <c r="I11" s="56">
        <v>6</v>
      </c>
      <c r="J11" s="56">
        <v>7</v>
      </c>
      <c r="K11" s="56">
        <v>8</v>
      </c>
      <c r="L11" s="56">
        <v>9</v>
      </c>
      <c r="M11" s="56">
        <v>10</v>
      </c>
    </row>
    <row r="12" spans="2:13" ht="15.75" x14ac:dyDescent="0.3">
      <c r="B12" s="6" t="s">
        <v>10</v>
      </c>
      <c r="C12" s="20">
        <f>-D3</f>
        <v>-23500000</v>
      </c>
      <c r="D12" s="21"/>
      <c r="E12" s="12"/>
      <c r="F12" s="12"/>
      <c r="G12" s="12"/>
      <c r="H12" s="12"/>
      <c r="I12" s="12"/>
      <c r="J12" s="12"/>
      <c r="K12" s="12"/>
      <c r="M12" s="7"/>
    </row>
    <row r="13" spans="2:13" ht="15.75" x14ac:dyDescent="0.3">
      <c r="B13" s="6" t="s">
        <v>63</v>
      </c>
      <c r="C13" s="21">
        <v>170</v>
      </c>
      <c r="D13" s="21">
        <f>$D$4</f>
        <v>170</v>
      </c>
      <c r="E13" s="21">
        <f>$E$14</f>
        <v>153.75</v>
      </c>
      <c r="F13" s="21">
        <f t="shared" ref="F13:I13" si="0">$E$14</f>
        <v>153.75</v>
      </c>
      <c r="G13" s="21">
        <f t="shared" si="0"/>
        <v>153.75</v>
      </c>
      <c r="H13" s="21">
        <f t="shared" si="0"/>
        <v>153.75</v>
      </c>
      <c r="I13" s="21">
        <f t="shared" si="0"/>
        <v>153.75</v>
      </c>
      <c r="J13" s="21">
        <f>$J$14</f>
        <v>173.95401273193355</v>
      </c>
      <c r="K13" s="21">
        <f t="shared" ref="K13:M13" si="1">$J$14</f>
        <v>173.95401273193355</v>
      </c>
      <c r="L13" s="21">
        <f t="shared" si="1"/>
        <v>173.95401273193355</v>
      </c>
      <c r="M13" s="21">
        <f t="shared" si="1"/>
        <v>173.95401273193355</v>
      </c>
    </row>
    <row r="14" spans="2:13" ht="15.75" x14ac:dyDescent="0.3">
      <c r="B14" s="6" t="s">
        <v>64</v>
      </c>
      <c r="C14" s="21">
        <v>150</v>
      </c>
      <c r="D14" s="21">
        <v>150</v>
      </c>
      <c r="E14" s="21">
        <f t="shared" ref="E14:M14" si="2">D14*1.025</f>
        <v>153.75</v>
      </c>
      <c r="F14" s="21">
        <f t="shared" si="2"/>
        <v>157.59375</v>
      </c>
      <c r="G14" s="21">
        <f t="shared" si="2"/>
        <v>161.53359374999999</v>
      </c>
      <c r="H14" s="21">
        <f t="shared" si="2"/>
        <v>165.57193359374997</v>
      </c>
      <c r="I14" s="21">
        <f t="shared" si="2"/>
        <v>169.71123193359372</v>
      </c>
      <c r="J14" s="21">
        <f t="shared" si="2"/>
        <v>173.95401273193355</v>
      </c>
      <c r="K14" s="21">
        <f t="shared" si="2"/>
        <v>178.30286305023188</v>
      </c>
      <c r="L14" s="21">
        <f t="shared" si="2"/>
        <v>182.76043462648767</v>
      </c>
      <c r="M14" s="21">
        <f t="shared" si="2"/>
        <v>187.32944549214983</v>
      </c>
    </row>
    <row r="15" spans="2:13" ht="15.75" x14ac:dyDescent="0.3">
      <c r="B15" s="58" t="s">
        <v>12</v>
      </c>
      <c r="C15" s="23"/>
      <c r="D15" s="23">
        <f>($D$7*D13)</f>
        <v>2380000</v>
      </c>
      <c r="E15" s="23">
        <f t="shared" ref="E15:M15" si="3">($D$7*E13)</f>
        <v>2152500</v>
      </c>
      <c r="F15" s="23">
        <f t="shared" si="3"/>
        <v>2152500</v>
      </c>
      <c r="G15" s="23">
        <f t="shared" si="3"/>
        <v>2152500</v>
      </c>
      <c r="H15" s="23">
        <f t="shared" si="3"/>
        <v>2152500</v>
      </c>
      <c r="I15" s="23">
        <f t="shared" si="3"/>
        <v>2152500</v>
      </c>
      <c r="J15" s="23">
        <f t="shared" si="3"/>
        <v>2435356.1782470695</v>
      </c>
      <c r="K15" s="23">
        <f t="shared" si="3"/>
        <v>2435356.1782470695</v>
      </c>
      <c r="L15" s="23">
        <f t="shared" si="3"/>
        <v>2435356.1782470695</v>
      </c>
      <c r="M15" s="23">
        <f t="shared" si="3"/>
        <v>2435356.1782470695</v>
      </c>
    </row>
    <row r="16" spans="2:13" ht="15.75" x14ac:dyDescent="0.3">
      <c r="B16" s="54" t="s">
        <v>18</v>
      </c>
      <c r="C16" s="21"/>
      <c r="D16" s="21"/>
      <c r="E16" s="21">
        <f>E15*-0.5</f>
        <v>-1076250</v>
      </c>
      <c r="F16" s="21"/>
      <c r="G16" s="21"/>
      <c r="H16" s="21"/>
      <c r="I16" s="21"/>
      <c r="J16" s="21">
        <f>J15*-0.5</f>
        <v>-1217678.0891235347</v>
      </c>
      <c r="K16" s="21"/>
      <c r="L16" s="21"/>
      <c r="M16" s="21"/>
    </row>
    <row r="17" spans="1:21" ht="15.75" x14ac:dyDescent="0.3">
      <c r="B17" s="58" t="s">
        <v>14</v>
      </c>
      <c r="C17" s="23">
        <f>C15+C16</f>
        <v>0</v>
      </c>
      <c r="D17" s="23">
        <f>D15+D16</f>
        <v>2380000</v>
      </c>
      <c r="E17" s="23">
        <f t="shared" ref="E17:M17" si="4">E15+E16</f>
        <v>1076250</v>
      </c>
      <c r="F17" s="23">
        <f t="shared" si="4"/>
        <v>2152500</v>
      </c>
      <c r="G17" s="23">
        <f t="shared" si="4"/>
        <v>2152500</v>
      </c>
      <c r="H17" s="23">
        <f t="shared" si="4"/>
        <v>2152500</v>
      </c>
      <c r="I17" s="23">
        <f t="shared" si="4"/>
        <v>2152500</v>
      </c>
      <c r="J17" s="23">
        <f t="shared" si="4"/>
        <v>1217678.0891235347</v>
      </c>
      <c r="K17" s="23">
        <f t="shared" si="4"/>
        <v>2435356.1782470695</v>
      </c>
      <c r="L17" s="23">
        <f t="shared" si="4"/>
        <v>2435356.1782470695</v>
      </c>
      <c r="M17" s="23">
        <f t="shared" si="4"/>
        <v>2435356.1782470695</v>
      </c>
    </row>
    <row r="18" spans="1:21" ht="15.75" x14ac:dyDescent="0.3">
      <c r="B18" s="17" t="s">
        <v>15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Q18" s="4"/>
      <c r="U18" s="15"/>
    </row>
    <row r="19" spans="1:21" ht="15.75" x14ac:dyDescent="0.3">
      <c r="B19" s="48" t="s">
        <v>16</v>
      </c>
      <c r="C19" s="51">
        <f>C17+C18</f>
        <v>0</v>
      </c>
      <c r="D19" s="51">
        <f>D17+D18</f>
        <v>2380000</v>
      </c>
      <c r="E19" s="51">
        <f t="shared" ref="E19:M19" si="5">E17+E18</f>
        <v>1076250</v>
      </c>
      <c r="F19" s="51">
        <f t="shared" si="5"/>
        <v>2152500</v>
      </c>
      <c r="G19" s="51">
        <f t="shared" si="5"/>
        <v>2152500</v>
      </c>
      <c r="H19" s="51">
        <f t="shared" si="5"/>
        <v>2152500</v>
      </c>
      <c r="I19" s="51">
        <f t="shared" si="5"/>
        <v>2152500</v>
      </c>
      <c r="J19" s="51">
        <f t="shared" si="5"/>
        <v>1217678.0891235347</v>
      </c>
      <c r="K19" s="51">
        <f t="shared" si="5"/>
        <v>2435356.1782470695</v>
      </c>
      <c r="L19" s="51">
        <f t="shared" si="5"/>
        <v>2435356.1782470695</v>
      </c>
      <c r="M19" s="51">
        <f t="shared" si="5"/>
        <v>2435356.1782470695</v>
      </c>
      <c r="U19" s="1"/>
    </row>
    <row r="20" spans="1:21" ht="15.75" customHeight="1" x14ac:dyDescent="0.3">
      <c r="B20" s="6" t="s">
        <v>59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21" ht="15.75" customHeight="1" x14ac:dyDescent="0.3">
      <c r="B21" s="6" t="s">
        <v>17</v>
      </c>
      <c r="C21" s="7"/>
      <c r="D21" s="7"/>
      <c r="E21" s="7"/>
      <c r="F21" s="7"/>
      <c r="G21" s="7"/>
      <c r="H21" s="7"/>
      <c r="I21" s="23"/>
      <c r="J21" s="7"/>
      <c r="K21" s="7"/>
      <c r="U21" s="15"/>
    </row>
    <row r="22" spans="1:21" ht="15.75" x14ac:dyDescent="0.3">
      <c r="A22" s="86"/>
      <c r="B22" s="57" t="s">
        <v>19</v>
      </c>
      <c r="C22" s="23"/>
      <c r="D22" s="23">
        <f>D20+D21</f>
        <v>0</v>
      </c>
      <c r="E22" s="23">
        <f t="shared" ref="E22:M22" si="6">E20+E21</f>
        <v>0</v>
      </c>
      <c r="F22" s="23">
        <f t="shared" si="6"/>
        <v>0</v>
      </c>
      <c r="G22" s="23">
        <f t="shared" si="6"/>
        <v>0</v>
      </c>
      <c r="H22" s="23">
        <f t="shared" si="6"/>
        <v>0</v>
      </c>
      <c r="I22" s="23">
        <f t="shared" si="6"/>
        <v>0</v>
      </c>
      <c r="J22" s="23">
        <f t="shared" si="6"/>
        <v>0</v>
      </c>
      <c r="K22" s="23">
        <f t="shared" si="6"/>
        <v>0</v>
      </c>
      <c r="L22" s="23">
        <f t="shared" si="6"/>
        <v>0</v>
      </c>
      <c r="M22" s="23">
        <f t="shared" si="6"/>
        <v>0</v>
      </c>
      <c r="U22" s="15"/>
    </row>
    <row r="23" spans="1:21" ht="15.75" x14ac:dyDescent="0.3">
      <c r="A23" s="86"/>
      <c r="B23" s="50" t="s">
        <v>51</v>
      </c>
      <c r="C23" s="51">
        <f t="shared" ref="C23" si="7">C19+C22</f>
        <v>0</v>
      </c>
      <c r="D23" s="51">
        <f>D19+D22</f>
        <v>2380000</v>
      </c>
      <c r="E23" s="51">
        <f t="shared" ref="E23:M23" si="8">E19+E22</f>
        <v>1076250</v>
      </c>
      <c r="F23" s="51">
        <f t="shared" si="8"/>
        <v>2152500</v>
      </c>
      <c r="G23" s="51">
        <f t="shared" si="8"/>
        <v>2152500</v>
      </c>
      <c r="H23" s="51">
        <f t="shared" si="8"/>
        <v>2152500</v>
      </c>
      <c r="I23" s="51">
        <f t="shared" si="8"/>
        <v>2152500</v>
      </c>
      <c r="J23" s="51">
        <f t="shared" si="8"/>
        <v>1217678.0891235347</v>
      </c>
      <c r="K23" s="51">
        <f t="shared" si="8"/>
        <v>2435356.1782470695</v>
      </c>
      <c r="L23" s="51">
        <f t="shared" si="8"/>
        <v>2435356.1782470695</v>
      </c>
      <c r="M23" s="51">
        <f t="shared" si="8"/>
        <v>2435356.1782470695</v>
      </c>
    </row>
    <row r="24" spans="1:21" ht="15.75" x14ac:dyDescent="0.3">
      <c r="A24" s="86"/>
      <c r="B24" s="6" t="s">
        <v>60</v>
      </c>
      <c r="C24" s="7"/>
      <c r="D24" s="21"/>
      <c r="E24" s="21"/>
      <c r="F24" s="21"/>
      <c r="G24" s="21"/>
      <c r="H24" s="21"/>
      <c r="I24" s="21"/>
      <c r="J24" s="21"/>
      <c r="K24" s="21"/>
      <c r="M24" s="60">
        <f>M14*D7*10</f>
        <v>26226122.368900977</v>
      </c>
    </row>
    <row r="25" spans="1:21" ht="15.75" x14ac:dyDescent="0.3">
      <c r="A25" s="86"/>
      <c r="B25" s="22" t="s">
        <v>21</v>
      </c>
      <c r="C25" s="7"/>
      <c r="D25" s="21"/>
      <c r="E25" s="21">
        <f>-H4</f>
        <v>-1169000</v>
      </c>
      <c r="F25" s="21"/>
      <c r="G25" s="21"/>
      <c r="H25" s="21"/>
      <c r="I25" s="21"/>
      <c r="J25" s="21">
        <f>-H4</f>
        <v>-1169000</v>
      </c>
      <c r="K25" s="21"/>
    </row>
    <row r="26" spans="1:21" ht="15.75" x14ac:dyDescent="0.3">
      <c r="A26" s="86"/>
      <c r="B26" s="50" t="s">
        <v>53</v>
      </c>
      <c r="C26" s="52">
        <f>C12</f>
        <v>-23500000</v>
      </c>
      <c r="D26" s="49">
        <f>D23+D24+D25</f>
        <v>2380000</v>
      </c>
      <c r="E26" s="49">
        <f t="shared" ref="E26:L26" si="9">E23+E24+E25</f>
        <v>-92750</v>
      </c>
      <c r="F26" s="49">
        <f t="shared" si="9"/>
        <v>2152500</v>
      </c>
      <c r="G26" s="49">
        <f t="shared" si="9"/>
        <v>2152500</v>
      </c>
      <c r="H26" s="49">
        <f>H23+H24+H25</f>
        <v>2152500</v>
      </c>
      <c r="I26" s="49">
        <f t="shared" si="9"/>
        <v>2152500</v>
      </c>
      <c r="J26" s="49">
        <f t="shared" si="9"/>
        <v>48678.089123534737</v>
      </c>
      <c r="K26" s="49">
        <f>K23+K24+K25</f>
        <v>2435356.1782470695</v>
      </c>
      <c r="L26" s="49">
        <f t="shared" si="9"/>
        <v>2435356.1782470695</v>
      </c>
      <c r="M26" s="49">
        <f>M23+M24+M25</f>
        <v>28661478.547148045</v>
      </c>
    </row>
    <row r="28" spans="1:21" x14ac:dyDescent="0.25">
      <c r="L28" s="7"/>
    </row>
    <row r="29" spans="1:21" x14ac:dyDescent="0.25">
      <c r="L29" s="7"/>
    </row>
    <row r="36" spans="2:8" x14ac:dyDescent="0.25">
      <c r="B36" t="s">
        <v>36</v>
      </c>
    </row>
    <row r="37" spans="2:8" x14ac:dyDescent="0.25">
      <c r="B37" t="s">
        <v>35</v>
      </c>
    </row>
    <row r="38" spans="2:8" x14ac:dyDescent="0.25">
      <c r="B38" t="s">
        <v>34</v>
      </c>
    </row>
    <row r="40" spans="2:8" ht="15.75" x14ac:dyDescent="0.3">
      <c r="B40" s="11" t="s">
        <v>3</v>
      </c>
      <c r="C40" s="11"/>
      <c r="D40" s="11"/>
      <c r="E40" s="11"/>
      <c r="F40" s="11"/>
      <c r="G40" s="11"/>
      <c r="H40" s="11"/>
    </row>
    <row r="41" spans="2:8" ht="15.75" x14ac:dyDescent="0.25">
      <c r="C41" s="33"/>
      <c r="D41" s="33"/>
      <c r="E41" s="33"/>
      <c r="F41" s="34" t="s">
        <v>31</v>
      </c>
      <c r="G41" s="33"/>
      <c r="H41" s="33"/>
    </row>
    <row r="42" spans="2:8" ht="15.75" x14ac:dyDescent="0.3">
      <c r="B42" s="87" t="s">
        <v>46</v>
      </c>
      <c r="C42" s="35">
        <f>K4</f>
        <v>-5124908.414143797</v>
      </c>
      <c r="D42" s="36">
        <v>1.4999999999999999E-2</v>
      </c>
      <c r="E42" s="36">
        <v>0.02</v>
      </c>
      <c r="F42" s="36">
        <v>2.5000000000000001E-2</v>
      </c>
      <c r="G42" s="36">
        <v>0.03</v>
      </c>
      <c r="H42" s="36">
        <v>3.5000000000000003E-2</v>
      </c>
    </row>
    <row r="43" spans="2:8" ht="15.75" x14ac:dyDescent="0.3">
      <c r="B43" s="87"/>
      <c r="C43" s="39">
        <v>0.10299999999999999</v>
      </c>
      <c r="D43" s="8">
        <f t="dataTable" ref="D43:H47" dt2D="1" dtr="1" r1="H6" r2="D8"/>
        <v>-5124908.414143797</v>
      </c>
      <c r="E43" s="8">
        <v>-5124908.414143797</v>
      </c>
      <c r="F43" s="8">
        <v>-5124908.414143797</v>
      </c>
      <c r="G43" s="8">
        <v>-5124908.414143797</v>
      </c>
      <c r="H43" s="37">
        <v>-5124908.414143797</v>
      </c>
    </row>
    <row r="44" spans="2:8" ht="15.75" x14ac:dyDescent="0.3">
      <c r="B44" s="87"/>
      <c r="C44" s="39">
        <v>9.2999999999999999E-2</v>
      </c>
      <c r="D44" s="8">
        <v>-5124908.414143797</v>
      </c>
      <c r="E44" s="13">
        <v>-5124908.414143797</v>
      </c>
      <c r="F44" s="13">
        <v>-5124908.414143797</v>
      </c>
      <c r="G44" s="13">
        <v>-5124908.414143797</v>
      </c>
      <c r="H44" s="8">
        <v>-5124908.414143797</v>
      </c>
    </row>
    <row r="45" spans="2:8" ht="15.75" x14ac:dyDescent="0.3">
      <c r="B45" s="87"/>
      <c r="C45" s="39">
        <v>8.3000000000000004E-2</v>
      </c>
      <c r="D45" s="8">
        <v>-5124908.414143797</v>
      </c>
      <c r="E45" s="13">
        <v>-5124908.414143797</v>
      </c>
      <c r="F45" s="14">
        <v>-5124908.414143797</v>
      </c>
      <c r="G45" s="13">
        <v>-5124908.414143797</v>
      </c>
      <c r="H45" s="8">
        <v>-5124908.414143797</v>
      </c>
    </row>
    <row r="46" spans="2:8" ht="15.75" x14ac:dyDescent="0.3">
      <c r="B46" s="87"/>
      <c r="C46" s="39">
        <v>7.2999999999999995E-2</v>
      </c>
      <c r="D46" s="8">
        <v>-5124908.414143797</v>
      </c>
      <c r="E46" s="13">
        <v>-5124908.414143797</v>
      </c>
      <c r="F46" s="13">
        <v>-5124908.414143797</v>
      </c>
      <c r="G46" s="13">
        <v>-5124908.414143797</v>
      </c>
      <c r="H46" s="8">
        <v>-5124908.414143797</v>
      </c>
    </row>
    <row r="47" spans="2:8" ht="15.75" x14ac:dyDescent="0.3">
      <c r="C47" s="39">
        <v>6.3E-2</v>
      </c>
      <c r="D47" s="38">
        <v>-5124908.414143797</v>
      </c>
      <c r="E47" s="8">
        <v>-5124908.414143797</v>
      </c>
      <c r="F47" s="8">
        <v>-5124908.414143797</v>
      </c>
      <c r="G47" s="8">
        <v>-5124908.414143797</v>
      </c>
      <c r="H47" s="8">
        <v>-5124908.414143797</v>
      </c>
    </row>
  </sheetData>
  <mergeCells count="4">
    <mergeCell ref="F2:H2"/>
    <mergeCell ref="D10:M10"/>
    <mergeCell ref="A22:A26"/>
    <mergeCell ref="B42:B46"/>
  </mergeCells>
  <conditionalFormatting sqref="K4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2F3F3-29F9-4E6A-A584-3EF92F908F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Custos</vt:lpstr>
      <vt:lpstr>Custos Renegociados</vt:lpstr>
      <vt:lpstr>DCF_ai n=6</vt:lpstr>
      <vt:lpstr>DCF_ai</vt:lpstr>
      <vt:lpstr>DCF_di</vt:lpstr>
      <vt:lpstr>DCF_ai exercicio 1</vt:lpstr>
      <vt:lpstr>DCF_ai exercicio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Caseiro</dc:creator>
  <cp:lastModifiedBy>RUI CASEIRO</cp:lastModifiedBy>
  <dcterms:created xsi:type="dcterms:W3CDTF">2015-06-05T18:17:20Z</dcterms:created>
  <dcterms:modified xsi:type="dcterms:W3CDTF">2025-04-15T07:58:20Z</dcterms:modified>
</cp:coreProperties>
</file>