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ipcbcampus-my.sharepoint.com/personal/rcaseiro_ipcbcampus_pt/Documents/002_Learning/099_Archive/003_Escolas/001_Pos_Graduacao/Ciclo 4 - Pós/Gestao de carteiras/CASO PRÁTICO 1 RISK MANAGEMENT/"/>
    </mc:Choice>
  </mc:AlternateContent>
  <xr:revisionPtr revIDLastSave="19" documentId="8_{71E415F9-17B7-4F68-95C1-80C3FBA93D02}" xr6:coauthVersionLast="47" xr6:coauthVersionMax="47" xr10:uidLastSave="{D1E5DCB1-FAF8-4AE4-BD70-44886668DF9E}"/>
  <bookViews>
    <workbookView xWindow="-120" yWindow="-120" windowWidth="29040" windowHeight="15720" tabRatio="592" activeTab="2" xr2:uid="{BED3425E-4E5B-4A86-A19D-F1A98FC8C34F}"/>
  </bookViews>
  <sheets>
    <sheet name="Targets" sheetId="1" r:id="rId1"/>
    <sheet name="Wealth" sheetId="12" r:id="rId2"/>
    <sheet name="Risk Management" sheetId="4" r:id="rId3"/>
  </sheets>
  <definedNames>
    <definedName name="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 l="1"/>
  <c r="C19" i="1"/>
  <c r="C13" i="1"/>
  <c r="E184" i="4"/>
  <c r="G62" i="12"/>
  <c r="C62" i="12"/>
  <c r="D62" i="12" s="1"/>
  <c r="G61" i="12"/>
  <c r="C61" i="12"/>
  <c r="D61" i="12" s="1"/>
  <c r="T52" i="1"/>
  <c r="R52" i="1"/>
  <c r="R54" i="1" s="1"/>
  <c r="R49" i="1"/>
  <c r="T48" i="1"/>
  <c r="T49" i="1" s="1"/>
  <c r="R48" i="1"/>
  <c r="C43" i="12"/>
  <c r="C51" i="12"/>
  <c r="C9" i="12" s="1"/>
  <c r="C48" i="12"/>
  <c r="C18" i="12" s="1"/>
  <c r="C50" i="12"/>
  <c r="C19" i="12" s="1"/>
  <c r="I182" i="4"/>
  <c r="D140" i="4" s="1"/>
  <c r="P140" i="4" s="1"/>
  <c r="H182" i="4"/>
  <c r="D141" i="4"/>
  <c r="P141" i="4" s="1"/>
  <c r="E183" i="4"/>
  <c r="C14" i="1"/>
  <c r="B43" i="12"/>
  <c r="C23" i="1" l="1"/>
  <c r="I61" i="12"/>
  <c r="I62" i="12"/>
  <c r="H61" i="12"/>
  <c r="H62" i="12"/>
  <c r="T54" i="1"/>
  <c r="R53" i="1"/>
  <c r="T53" i="1"/>
  <c r="O91" i="4"/>
  <c r="D91" i="4"/>
  <c r="M146" i="4"/>
  <c r="M147" i="4" s="1"/>
  <c r="E145" i="4"/>
  <c r="M148" i="4" l="1"/>
  <c r="M149" i="4" l="1"/>
  <c r="B146" i="4"/>
  <c r="M95" i="4"/>
  <c r="N95" i="4" s="1"/>
  <c r="C87" i="12"/>
  <c r="M150" i="4" l="1"/>
  <c r="B147" i="4"/>
  <c r="M96" i="4"/>
  <c r="D22" i="4"/>
  <c r="N96" i="4" l="1"/>
  <c r="M151" i="4"/>
  <c r="M97" i="4"/>
  <c r="M98" i="4" s="1"/>
  <c r="B148" i="4"/>
  <c r="N97" i="4"/>
  <c r="R41" i="4"/>
  <c r="R40" i="4"/>
  <c r="O40" i="4"/>
  <c r="M152" i="4" l="1"/>
  <c r="B149" i="4"/>
  <c r="N98" i="4"/>
  <c r="M99" i="4"/>
  <c r="R42" i="4"/>
  <c r="O95" i="4" s="1"/>
  <c r="Q95" i="4" s="1"/>
  <c r="R95" i="4" s="1"/>
  <c r="G15" i="4"/>
  <c r="G41" i="4"/>
  <c r="G40" i="4"/>
  <c r="O96" i="4" l="1"/>
  <c r="Q96" i="4" s="1"/>
  <c r="R96" i="4" s="1"/>
  <c r="O97" i="4"/>
  <c r="Q97" i="4" s="1"/>
  <c r="R97" i="4" s="1"/>
  <c r="O98" i="4"/>
  <c r="Q98" i="4" s="1"/>
  <c r="R98" i="4" s="1"/>
  <c r="M153" i="4"/>
  <c r="B150" i="4"/>
  <c r="N99" i="4"/>
  <c r="M100" i="4"/>
  <c r="B68" i="1"/>
  <c r="O99" i="4" l="1"/>
  <c r="Q99" i="4" s="1"/>
  <c r="R99" i="4" s="1"/>
  <c r="M154" i="4"/>
  <c r="B151" i="4"/>
  <c r="N100" i="4"/>
  <c r="M101" i="4"/>
  <c r="K89" i="1"/>
  <c r="K53" i="1"/>
  <c r="K52" i="1"/>
  <c r="K59" i="1"/>
  <c r="K46" i="1"/>
  <c r="N43" i="1"/>
  <c r="O43" i="1" s="1"/>
  <c r="N42" i="1"/>
  <c r="O42" i="1" s="1"/>
  <c r="R43" i="1"/>
  <c r="R42" i="1"/>
  <c r="L32" i="1"/>
  <c r="K54" i="1" l="1"/>
  <c r="O100" i="4"/>
  <c r="Q100" i="4" s="1"/>
  <c r="R100" i="4" s="1"/>
  <c r="M155" i="4"/>
  <c r="B152" i="4"/>
  <c r="N101" i="4"/>
  <c r="O101" i="4" s="1"/>
  <c r="M102" i="4"/>
  <c r="T43" i="1"/>
  <c r="S42" i="1"/>
  <c r="S43" i="1"/>
  <c r="T42" i="1"/>
  <c r="T44" i="1" s="1"/>
  <c r="M156" i="4" l="1"/>
  <c r="B153" i="4"/>
  <c r="Q101" i="4"/>
  <c r="N102" i="4"/>
  <c r="M103" i="4"/>
  <c r="M33" i="12"/>
  <c r="M32" i="12"/>
  <c r="M34" i="12" s="1" a="1"/>
  <c r="M34" i="12" s="1"/>
  <c r="K33" i="12"/>
  <c r="K32" i="12"/>
  <c r="K34" i="12" l="1"/>
  <c r="O102" i="4"/>
  <c r="Q102" i="4" s="1"/>
  <c r="R102" i="4" s="1"/>
  <c r="M157" i="4"/>
  <c r="B154" i="4"/>
  <c r="R101" i="4"/>
  <c r="M104" i="4"/>
  <c r="N103" i="4"/>
  <c r="F42" i="1"/>
  <c r="F44" i="1" s="1"/>
  <c r="B44" i="1" s="1"/>
  <c r="K43" i="1"/>
  <c r="O103" i="4" l="1"/>
  <c r="Q103" i="4" s="1"/>
  <c r="R103" i="4" s="1"/>
  <c r="M158" i="4"/>
  <c r="B155" i="4"/>
  <c r="M105" i="4"/>
  <c r="N104" i="4"/>
  <c r="O104" i="4" l="1"/>
  <c r="Q104" i="4" s="1"/>
  <c r="R104" i="4" s="1"/>
  <c r="M159" i="4"/>
  <c r="B156" i="4"/>
  <c r="N105" i="4"/>
  <c r="M106" i="4"/>
  <c r="P27" i="4"/>
  <c r="Q27" i="4" s="1"/>
  <c r="R27" i="4" s="1"/>
  <c r="S27" i="4" s="1"/>
  <c r="T27" i="4" s="1"/>
  <c r="U27" i="4" s="1"/>
  <c r="D40" i="4"/>
  <c r="M46" i="4" s="1"/>
  <c r="K90" i="1"/>
  <c r="B89" i="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O105" i="4" l="1"/>
  <c r="Q105" i="4" s="1"/>
  <c r="R105" i="4" s="1"/>
  <c r="N46" i="4"/>
  <c r="M47" i="4"/>
  <c r="M160" i="4"/>
  <c r="B157" i="4"/>
  <c r="N106" i="4"/>
  <c r="M107" i="4"/>
  <c r="P17" i="4"/>
  <c r="Q17" i="4" s="1"/>
  <c r="R17" i="4" s="1"/>
  <c r="K91" i="1"/>
  <c r="K60" i="1"/>
  <c r="K61" i="1" s="1"/>
  <c r="K55" i="1"/>
  <c r="O46" i="4" l="1"/>
  <c r="Q46" i="4" s="1"/>
  <c r="R46" i="4" s="1"/>
  <c r="O106" i="4"/>
  <c r="Q106" i="4" s="1"/>
  <c r="R106" i="4" s="1"/>
  <c r="N47" i="4"/>
  <c r="M48" i="4"/>
  <c r="M161" i="4"/>
  <c r="B158" i="4"/>
  <c r="N107" i="4"/>
  <c r="M108" i="4"/>
  <c r="K92" i="1"/>
  <c r="O47" i="4" l="1"/>
  <c r="Q47" i="4" s="1"/>
  <c r="R47" i="4" s="1"/>
  <c r="O107" i="4"/>
  <c r="Q107" i="4" s="1"/>
  <c r="R107" i="4" s="1"/>
  <c r="M49" i="4"/>
  <c r="N48" i="4"/>
  <c r="M162" i="4"/>
  <c r="B159" i="4"/>
  <c r="M109" i="4"/>
  <c r="N108" i="4"/>
  <c r="K93" i="1"/>
  <c r="O48" i="4" l="1"/>
  <c r="Q48" i="4" s="1"/>
  <c r="R48" i="4" s="1"/>
  <c r="O108" i="4"/>
  <c r="Q108" i="4" s="1"/>
  <c r="R108" i="4" s="1"/>
  <c r="M50" i="4"/>
  <c r="N49" i="4"/>
  <c r="M163" i="4"/>
  <c r="B160" i="4"/>
  <c r="M110" i="4"/>
  <c r="N109" i="4"/>
  <c r="K94" i="1"/>
  <c r="O49" i="4" l="1"/>
  <c r="Q49" i="4" s="1"/>
  <c r="R49" i="4" s="1"/>
  <c r="O109" i="4"/>
  <c r="Q109" i="4" s="1"/>
  <c r="R109" i="4" s="1"/>
  <c r="M51" i="4"/>
  <c r="N50" i="4"/>
  <c r="M164" i="4"/>
  <c r="B161" i="4"/>
  <c r="N110" i="4"/>
  <c r="M111" i="4"/>
  <c r="K95" i="1"/>
  <c r="C30" i="12"/>
  <c r="C12" i="12"/>
  <c r="B46" i="4"/>
  <c r="B47" i="4" s="1"/>
  <c r="T17" i="1"/>
  <c r="C78" i="12" l="1"/>
  <c r="D18" i="4"/>
  <c r="D16" i="4"/>
  <c r="O50" i="4"/>
  <c r="Q50" i="4" s="1"/>
  <c r="R50" i="4" s="1"/>
  <c r="O110" i="4"/>
  <c r="Q110" i="4" s="1"/>
  <c r="R110" i="4" s="1"/>
  <c r="B48" i="4"/>
  <c r="B49" i="4" s="1"/>
  <c r="B50" i="4" s="1"/>
  <c r="B51" i="4" s="1"/>
  <c r="B52" i="4" s="1"/>
  <c r="B53" i="4" s="1"/>
  <c r="B54" i="4" s="1"/>
  <c r="B55" i="4" s="1"/>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N51" i="4"/>
  <c r="M52" i="4"/>
  <c r="M165" i="4"/>
  <c r="B162" i="4"/>
  <c r="N111" i="4"/>
  <c r="M112" i="4"/>
  <c r="B95" i="4"/>
  <c r="C95" i="4" s="1"/>
  <c r="K96" i="1"/>
  <c r="C23" i="12" l="1"/>
  <c r="C56" i="12" s="1"/>
  <c r="C83" i="12"/>
  <c r="C42" i="1"/>
  <c r="C44" i="1" s="1"/>
  <c r="O51" i="4"/>
  <c r="Q51" i="4" s="1"/>
  <c r="R51" i="4" s="1"/>
  <c r="O111" i="4"/>
  <c r="Q111" i="4" s="1"/>
  <c r="R111" i="4" s="1"/>
  <c r="N52" i="4"/>
  <c r="M53" i="4"/>
  <c r="B163" i="4"/>
  <c r="B96" i="4"/>
  <c r="B97" i="4" s="1"/>
  <c r="B98" i="4" s="1"/>
  <c r="B99" i="4" s="1"/>
  <c r="N112" i="4"/>
  <c r="M113" i="4"/>
  <c r="K97" i="1"/>
  <c r="D17" i="4" l="1"/>
  <c r="D15" i="4" s="1"/>
  <c r="C54" i="1"/>
  <c r="C45" i="1"/>
  <c r="O52" i="4"/>
  <c r="Q52" i="4" s="1"/>
  <c r="R52" i="4" s="1"/>
  <c r="O112" i="4"/>
  <c r="Q112" i="4" s="1"/>
  <c r="R112" i="4" s="1"/>
  <c r="M54" i="4"/>
  <c r="N53" i="4"/>
  <c r="B164" i="4"/>
  <c r="M114" i="4"/>
  <c r="N113" i="4"/>
  <c r="K98" i="1"/>
  <c r="B100" i="4"/>
  <c r="C47" i="1" l="1"/>
  <c r="C49" i="1" s="1"/>
  <c r="C60" i="1" s="1"/>
  <c r="C59" i="1" s="1"/>
  <c r="C53" i="1"/>
  <c r="C55" i="1" s="1"/>
  <c r="C57" i="1" s="1"/>
  <c r="O53" i="4"/>
  <c r="Q53" i="4" s="1"/>
  <c r="R53" i="4" s="1"/>
  <c r="O113" i="4"/>
  <c r="Q113" i="4" s="1"/>
  <c r="R113" i="4" s="1"/>
  <c r="M55" i="4"/>
  <c r="N54" i="4"/>
  <c r="B165" i="4"/>
  <c r="N114" i="4"/>
  <c r="O114" i="4" s="1"/>
  <c r="K99" i="1"/>
  <c r="B101" i="4"/>
  <c r="R14" i="4"/>
  <c r="S14" i="4" s="1"/>
  <c r="T14" i="4" s="1"/>
  <c r="U14" i="4" s="1"/>
  <c r="G42" i="4"/>
  <c r="D95" i="4" s="1"/>
  <c r="U28" i="4"/>
  <c r="T28" i="4"/>
  <c r="S28" i="4"/>
  <c r="R28" i="4"/>
  <c r="Q28" i="4"/>
  <c r="P28" i="4"/>
  <c r="U21" i="4"/>
  <c r="T21" i="4"/>
  <c r="S21" i="4"/>
  <c r="R21" i="4"/>
  <c r="Q21" i="4"/>
  <c r="P21" i="4"/>
  <c r="O54" i="4" l="1"/>
  <c r="Q54" i="4" s="1"/>
  <c r="R54" i="4" s="1"/>
  <c r="N55" i="4"/>
  <c r="M56" i="4"/>
  <c r="P139" i="4"/>
  <c r="N145" i="4"/>
  <c r="N146" i="4" s="1"/>
  <c r="Q114" i="4"/>
  <c r="R114" i="4" s="1"/>
  <c r="R29" i="4"/>
  <c r="P29" i="4"/>
  <c r="Q29" i="4"/>
  <c r="K100" i="1"/>
  <c r="B102" i="4"/>
  <c r="O55" i="4" l="1"/>
  <c r="Q55" i="4" s="1"/>
  <c r="R55" i="4" s="1"/>
  <c r="O146" i="4"/>
  <c r="N147" i="4"/>
  <c r="N148" i="4" s="1"/>
  <c r="N149" i="4" s="1"/>
  <c r="N150" i="4" s="1"/>
  <c r="N151" i="4" s="1"/>
  <c r="N152" i="4" s="1"/>
  <c r="N153" i="4" s="1"/>
  <c r="N154" i="4" s="1"/>
  <c r="N155" i="4" s="1"/>
  <c r="N56" i="4"/>
  <c r="M57" i="4"/>
  <c r="K101" i="1"/>
  <c r="B103" i="4"/>
  <c r="O147" i="4" l="1"/>
  <c r="O56" i="4"/>
  <c r="Q56" i="4" s="1"/>
  <c r="R56" i="4" s="1"/>
  <c r="N156" i="4"/>
  <c r="N157" i="4" s="1"/>
  <c r="N158" i="4" s="1"/>
  <c r="N159" i="4" s="1"/>
  <c r="N160" i="4" s="1"/>
  <c r="N161" i="4" s="1"/>
  <c r="N162" i="4" s="1"/>
  <c r="N163" i="4" s="1"/>
  <c r="N164" i="4" s="1"/>
  <c r="N165" i="4" s="1"/>
  <c r="N166" i="4" s="1"/>
  <c r="N167" i="4" s="1"/>
  <c r="N168" i="4" s="1"/>
  <c r="N169" i="4" s="1"/>
  <c r="N170" i="4" s="1"/>
  <c r="N171" i="4" s="1"/>
  <c r="N172" i="4" s="1"/>
  <c r="N173" i="4" s="1"/>
  <c r="N174" i="4" s="1"/>
  <c r="N175" i="4" s="1"/>
  <c r="N176" i="4" s="1"/>
  <c r="N177" i="4" s="1"/>
  <c r="N178" i="4" s="1"/>
  <c r="N179" i="4" s="1"/>
  <c r="N180" i="4" s="1"/>
  <c r="N181" i="4" s="1"/>
  <c r="N182" i="4" s="1"/>
  <c r="N183" i="4" s="1"/>
  <c r="M58" i="4"/>
  <c r="N57" i="4"/>
  <c r="Q147" i="4"/>
  <c r="O148" i="4"/>
  <c r="Q146" i="4"/>
  <c r="K102" i="1"/>
  <c r="B104" i="4"/>
  <c r="O57" i="4" l="1"/>
  <c r="Q57" i="4" s="1"/>
  <c r="R57" i="4" s="1"/>
  <c r="M59" i="4"/>
  <c r="N58" i="4"/>
  <c r="R146" i="4"/>
  <c r="O149" i="4"/>
  <c r="R147" i="4"/>
  <c r="C46" i="4"/>
  <c r="D46" i="4" s="1"/>
  <c r="F46" i="4" s="1"/>
  <c r="K103" i="1"/>
  <c r="B105" i="4"/>
  <c r="O58" i="4" l="1"/>
  <c r="Q58" i="4" s="1"/>
  <c r="R58" i="4" s="1"/>
  <c r="M60" i="4"/>
  <c r="N59" i="4"/>
  <c r="G46" i="4"/>
  <c r="Q148" i="4"/>
  <c r="Q149" i="4"/>
  <c r="O150" i="4"/>
  <c r="C47" i="4"/>
  <c r="C96" i="4"/>
  <c r="K104" i="1"/>
  <c r="B106" i="4"/>
  <c r="O59" i="4" l="1"/>
  <c r="Q59" i="4" s="1"/>
  <c r="R59" i="4" s="1"/>
  <c r="M61" i="4"/>
  <c r="N60" i="4"/>
  <c r="Q150" i="4"/>
  <c r="R150" i="4" s="1"/>
  <c r="O151" i="4"/>
  <c r="R149" i="4"/>
  <c r="R148" i="4"/>
  <c r="F95" i="4"/>
  <c r="G95" i="4" s="1"/>
  <c r="D47" i="4"/>
  <c r="F47" i="4" s="1"/>
  <c r="C97" i="4"/>
  <c r="D96" i="4"/>
  <c r="F96" i="4" s="1"/>
  <c r="C48" i="4"/>
  <c r="D48" i="4" s="1"/>
  <c r="F48" i="4" s="1"/>
  <c r="K105" i="1"/>
  <c r="B107" i="4"/>
  <c r="O60" i="4" l="1"/>
  <c r="Q60" i="4" s="1"/>
  <c r="R60" i="4" s="1"/>
  <c r="G47" i="4"/>
  <c r="G48" i="4"/>
  <c r="N61" i="4"/>
  <c r="M62" i="4"/>
  <c r="O152" i="4"/>
  <c r="K41" i="1"/>
  <c r="C98" i="4"/>
  <c r="D97" i="4"/>
  <c r="C49" i="4"/>
  <c r="G96" i="4"/>
  <c r="K106" i="1"/>
  <c r="B108" i="4"/>
  <c r="F97" i="4" l="1"/>
  <c r="G97" i="4" s="1"/>
  <c r="O61" i="4"/>
  <c r="Q61" i="4" s="1"/>
  <c r="R61" i="4" s="1"/>
  <c r="M63" i="4"/>
  <c r="N62" i="4"/>
  <c r="Q152" i="4"/>
  <c r="O153" i="4"/>
  <c r="Q151" i="4"/>
  <c r="K42" i="1"/>
  <c r="K47" i="1"/>
  <c r="K44" i="1"/>
  <c r="C50" i="4"/>
  <c r="D49" i="4"/>
  <c r="F49" i="4" s="1"/>
  <c r="G49" i="4" s="1"/>
  <c r="C99" i="4"/>
  <c r="D98" i="4"/>
  <c r="F98" i="4" s="1"/>
  <c r="K107" i="1"/>
  <c r="B109" i="4"/>
  <c r="O62" i="4" l="1"/>
  <c r="Q62" i="4" s="1"/>
  <c r="R62" i="4" s="1"/>
  <c r="M64" i="4"/>
  <c r="N63" i="4"/>
  <c r="R151" i="4"/>
  <c r="R152" i="4"/>
  <c r="O154" i="4"/>
  <c r="G98" i="4"/>
  <c r="C100" i="4"/>
  <c r="D99" i="4"/>
  <c r="F99" i="4" s="1"/>
  <c r="C51" i="4"/>
  <c r="D51" i="4" s="1"/>
  <c r="D50" i="4"/>
  <c r="F50" i="4" s="1"/>
  <c r="K108" i="1"/>
  <c r="B110" i="4"/>
  <c r="O63" i="4" l="1"/>
  <c r="Q63" i="4" s="1"/>
  <c r="N64" i="4"/>
  <c r="M65" i="4"/>
  <c r="Q154" i="4"/>
  <c r="O155" i="4"/>
  <c r="Q153" i="4"/>
  <c r="G99" i="4"/>
  <c r="G50" i="4"/>
  <c r="C101" i="4"/>
  <c r="D100" i="4"/>
  <c r="F100" i="4" s="1"/>
  <c r="C52" i="4"/>
  <c r="F51" i="4"/>
  <c r="G51" i="4" s="1"/>
  <c r="K109" i="1"/>
  <c r="B111" i="4"/>
  <c r="B112" i="4" s="1"/>
  <c r="B113" i="4" s="1"/>
  <c r="N65" i="4" l="1"/>
  <c r="R63" i="4"/>
  <c r="O65" i="4"/>
  <c r="Q65" i="4" s="1"/>
  <c r="O64" i="4"/>
  <c r="Q64" i="4" s="1"/>
  <c r="R153" i="4"/>
  <c r="R154" i="4"/>
  <c r="Q155" i="4"/>
  <c r="R155" i="4" s="1"/>
  <c r="O156" i="4"/>
  <c r="G100" i="4"/>
  <c r="C102" i="4"/>
  <c r="D101" i="4"/>
  <c r="F101" i="4" s="1"/>
  <c r="G101" i="4" s="1"/>
  <c r="C53" i="4"/>
  <c r="D52" i="4"/>
  <c r="F52" i="4" s="1"/>
  <c r="K110" i="1"/>
  <c r="B114" i="4"/>
  <c r="B115" i="4" s="1"/>
  <c r="R64" i="4" l="1"/>
  <c r="R65" i="4"/>
  <c r="C38" i="12" s="1"/>
  <c r="Q156" i="4"/>
  <c r="O157" i="4"/>
  <c r="C103" i="4"/>
  <c r="D102" i="4"/>
  <c r="F102" i="4" s="1"/>
  <c r="C54" i="4"/>
  <c r="D53" i="4"/>
  <c r="F53" i="4" s="1"/>
  <c r="G53" i="4" s="1"/>
  <c r="G52" i="4"/>
  <c r="K111" i="1"/>
  <c r="R156" i="4" l="1"/>
  <c r="Q157" i="4"/>
  <c r="R157" i="4" s="1"/>
  <c r="O158" i="4"/>
  <c r="G102" i="4"/>
  <c r="C55" i="4"/>
  <c r="D54" i="4"/>
  <c r="F54" i="4" s="1"/>
  <c r="G54" i="4" s="1"/>
  <c r="C104" i="4"/>
  <c r="D103" i="4"/>
  <c r="F103" i="4" s="1"/>
  <c r="K112" i="1"/>
  <c r="B116" i="4"/>
  <c r="Q158" i="4" l="1"/>
  <c r="O159" i="4"/>
  <c r="G103" i="4"/>
  <c r="C105" i="4"/>
  <c r="D104" i="4"/>
  <c r="F104" i="4" s="1"/>
  <c r="C56" i="4"/>
  <c r="D55" i="4"/>
  <c r="F55" i="4" s="1"/>
  <c r="G55" i="4" s="1"/>
  <c r="K113" i="1"/>
  <c r="B117" i="4"/>
  <c r="Q159" i="4" l="1"/>
  <c r="R159" i="4" s="1"/>
  <c r="O160" i="4"/>
  <c r="R158" i="4"/>
  <c r="G104" i="4"/>
  <c r="C57" i="4"/>
  <c r="D57" i="4" s="1"/>
  <c r="D56" i="4"/>
  <c r="F56" i="4" s="1"/>
  <c r="G56" i="4" s="1"/>
  <c r="C106" i="4"/>
  <c r="D105" i="4"/>
  <c r="F105" i="4" s="1"/>
  <c r="G105" i="4" s="1"/>
  <c r="K114" i="1"/>
  <c r="B118" i="4"/>
  <c r="Q160" i="4" l="1"/>
  <c r="O161" i="4"/>
  <c r="C107" i="4"/>
  <c r="D106" i="4"/>
  <c r="F106" i="4" s="1"/>
  <c r="G106" i="4" s="1"/>
  <c r="C58" i="4"/>
  <c r="F57" i="4"/>
  <c r="G57" i="4" s="1"/>
  <c r="K115" i="1"/>
  <c r="B119" i="4"/>
  <c r="Q161" i="4" l="1"/>
  <c r="R161" i="4" s="1"/>
  <c r="O162" i="4"/>
  <c r="R160" i="4"/>
  <c r="C59" i="4"/>
  <c r="D58" i="4"/>
  <c r="F58" i="4" s="1"/>
  <c r="G58" i="4" s="1"/>
  <c r="C108" i="4"/>
  <c r="D107" i="4"/>
  <c r="F107" i="4" s="1"/>
  <c r="K116" i="1"/>
  <c r="B120" i="4"/>
  <c r="Q162" i="4" l="1"/>
  <c r="R162" i="4" s="1"/>
  <c r="O163" i="4"/>
  <c r="C60" i="4"/>
  <c r="D59" i="4"/>
  <c r="F59" i="4" s="1"/>
  <c r="G59" i="4" s="1"/>
  <c r="C109" i="4"/>
  <c r="D108" i="4"/>
  <c r="F108" i="4" s="1"/>
  <c r="G108" i="4" s="1"/>
  <c r="G107" i="4"/>
  <c r="K117" i="1"/>
  <c r="B121" i="4"/>
  <c r="Q163" i="4" l="1"/>
  <c r="R163" i="4" s="1"/>
  <c r="O164" i="4"/>
  <c r="C110" i="4"/>
  <c r="D109" i="4"/>
  <c r="F109" i="4" s="1"/>
  <c r="C61" i="4"/>
  <c r="D60" i="4"/>
  <c r="F60" i="4" s="1"/>
  <c r="G60" i="4" s="1"/>
  <c r="K118" i="1"/>
  <c r="B122" i="4"/>
  <c r="Q164" i="4" l="1"/>
  <c r="R164" i="4" s="1"/>
  <c r="O165" i="4"/>
  <c r="G109" i="4"/>
  <c r="D110" i="4"/>
  <c r="F110" i="4" s="1"/>
  <c r="G110" i="4" s="1"/>
  <c r="C111" i="4"/>
  <c r="C62" i="4"/>
  <c r="D61" i="4"/>
  <c r="F61" i="4" s="1"/>
  <c r="G61" i="4" s="1"/>
  <c r="K119" i="1"/>
  <c r="B123" i="4"/>
  <c r="O166" i="4" l="1"/>
  <c r="Q165" i="4"/>
  <c r="R165" i="4" s="1"/>
  <c r="C63" i="4"/>
  <c r="D62" i="4"/>
  <c r="F62" i="4" s="1"/>
  <c r="G62" i="4" s="1"/>
  <c r="C112" i="4"/>
  <c r="C113" i="4" s="1"/>
  <c r="D111" i="4"/>
  <c r="F111" i="4" s="1"/>
  <c r="K120" i="1"/>
  <c r="B124" i="4"/>
  <c r="O167" i="4" l="1"/>
  <c r="Q166" i="4"/>
  <c r="R166" i="4" s="1"/>
  <c r="D112" i="4"/>
  <c r="F112" i="4" s="1"/>
  <c r="G112" i="4" s="1"/>
  <c r="C64" i="4"/>
  <c r="D63" i="4"/>
  <c r="F63" i="4" s="1"/>
  <c r="G63" i="4" s="1"/>
  <c r="G111" i="4"/>
  <c r="K121" i="1"/>
  <c r="B125" i="4"/>
  <c r="O168" i="4" l="1"/>
  <c r="Q167" i="4"/>
  <c r="R167" i="4" s="1"/>
  <c r="C65" i="4"/>
  <c r="D64" i="4"/>
  <c r="F64" i="4" s="1"/>
  <c r="G64" i="4" s="1"/>
  <c r="C114" i="4"/>
  <c r="D113" i="4"/>
  <c r="F113" i="4" s="1"/>
  <c r="K122" i="1"/>
  <c r="B126" i="4"/>
  <c r="O169" i="4" l="1"/>
  <c r="Q168" i="4"/>
  <c r="R168" i="4" s="1"/>
  <c r="D139" i="4"/>
  <c r="C145" i="4"/>
  <c r="C146" i="4" s="1"/>
  <c r="D114" i="4"/>
  <c r="C115" i="4"/>
  <c r="G113" i="4"/>
  <c r="C66" i="4"/>
  <c r="D65" i="4"/>
  <c r="F65" i="4" s="1"/>
  <c r="G65" i="4" s="1"/>
  <c r="K123" i="1"/>
  <c r="K124" i="1" s="1"/>
  <c r="K125" i="1" s="1"/>
  <c r="K126" i="1" s="1"/>
  <c r="K127" i="1" s="1"/>
  <c r="K128" i="1" s="1"/>
  <c r="K129" i="1" s="1"/>
  <c r="K130" i="1" s="1"/>
  <c r="K131" i="1" s="1"/>
  <c r="K132" i="1" s="1"/>
  <c r="K133" i="1" s="1"/>
  <c r="K134" i="1" s="1"/>
  <c r="G69" i="4"/>
  <c r="B127" i="4"/>
  <c r="D146" i="4" l="1"/>
  <c r="F146" i="4" s="1"/>
  <c r="C147" i="4"/>
  <c r="C148" i="4" s="1"/>
  <c r="C149" i="4" s="1"/>
  <c r="C150" i="4" s="1"/>
  <c r="C151" i="4" s="1"/>
  <c r="C152" i="4" s="1"/>
  <c r="C153" i="4" s="1"/>
  <c r="C154" i="4" s="1"/>
  <c r="C155" i="4" s="1"/>
  <c r="C156" i="4" s="1"/>
  <c r="C157" i="4" s="1"/>
  <c r="C158" i="4" s="1"/>
  <c r="C159" i="4" s="1"/>
  <c r="C160" i="4" s="1"/>
  <c r="C161" i="4" s="1"/>
  <c r="C162" i="4" s="1"/>
  <c r="C163" i="4" s="1"/>
  <c r="C164" i="4" s="1"/>
  <c r="C165" i="4" s="1"/>
  <c r="C166" i="4" s="1"/>
  <c r="C167" i="4" s="1"/>
  <c r="C168" i="4" s="1"/>
  <c r="C169" i="4" s="1"/>
  <c r="C170" i="4" s="1"/>
  <c r="C171" i="4" s="1"/>
  <c r="C172" i="4" s="1"/>
  <c r="C173" i="4" s="1"/>
  <c r="C174" i="4" s="1"/>
  <c r="C175" i="4" s="1"/>
  <c r="C39" i="12"/>
  <c r="C40" i="12" s="1"/>
  <c r="D21" i="4"/>
  <c r="Q169" i="4"/>
  <c r="R169" i="4" s="1"/>
  <c r="O170" i="4"/>
  <c r="D147" i="4"/>
  <c r="F114" i="4"/>
  <c r="C116" i="4"/>
  <c r="D115" i="4"/>
  <c r="F115" i="4" s="1"/>
  <c r="D24" i="4"/>
  <c r="C67" i="4"/>
  <c r="D66" i="4"/>
  <c r="F66" i="4" s="1"/>
  <c r="G66" i="4" s="1"/>
  <c r="B128" i="4"/>
  <c r="O171" i="4" l="1"/>
  <c r="Q170" i="4"/>
  <c r="R170" i="4" s="1"/>
  <c r="F147" i="4"/>
  <c r="D148" i="4"/>
  <c r="G114" i="4"/>
  <c r="G21" i="4" s="1"/>
  <c r="G115" i="4"/>
  <c r="C117" i="4"/>
  <c r="D116" i="4"/>
  <c r="F116" i="4" s="1"/>
  <c r="C68" i="4"/>
  <c r="D67" i="4"/>
  <c r="F67" i="4" s="1"/>
  <c r="G67" i="4" s="1"/>
  <c r="B129" i="4"/>
  <c r="O172" i="4" l="1"/>
  <c r="Q171" i="4"/>
  <c r="R171" i="4" s="1"/>
  <c r="D149" i="4"/>
  <c r="G147" i="4"/>
  <c r="G146" i="4"/>
  <c r="C118" i="4"/>
  <c r="D117" i="4"/>
  <c r="F117" i="4" s="1"/>
  <c r="G117" i="4" s="1"/>
  <c r="G116" i="4"/>
  <c r="C69" i="4"/>
  <c r="D68" i="4"/>
  <c r="F68" i="4" s="1"/>
  <c r="G68" i="4" s="1"/>
  <c r="B130" i="4"/>
  <c r="G130" i="4"/>
  <c r="C129" i="4"/>
  <c r="O173" i="4" l="1"/>
  <c r="Q172" i="4"/>
  <c r="R172" i="4" s="1"/>
  <c r="F149" i="4"/>
  <c r="D150" i="4"/>
  <c r="F148" i="4"/>
  <c r="C119" i="4"/>
  <c r="D118" i="4"/>
  <c r="F118" i="4" s="1"/>
  <c r="C70" i="4"/>
  <c r="D69" i="4"/>
  <c r="F69" i="4" s="1"/>
  <c r="B131" i="4"/>
  <c r="G131" i="4"/>
  <c r="C130" i="4"/>
  <c r="O174" i="4" l="1"/>
  <c r="Q173" i="4"/>
  <c r="R173" i="4" s="1"/>
  <c r="G149" i="4"/>
  <c r="G148" i="4"/>
  <c r="D151" i="4"/>
  <c r="G118" i="4"/>
  <c r="C120" i="4"/>
  <c r="D119" i="4"/>
  <c r="F119" i="4" s="1"/>
  <c r="C71" i="4"/>
  <c r="D70" i="4"/>
  <c r="F70" i="4" s="1"/>
  <c r="G70" i="4" s="1"/>
  <c r="B132" i="4"/>
  <c r="G132" i="4"/>
  <c r="C131" i="4"/>
  <c r="O175" i="4" l="1"/>
  <c r="Q174" i="4"/>
  <c r="R174" i="4" s="1"/>
  <c r="F151" i="4"/>
  <c r="D152" i="4"/>
  <c r="F150" i="4"/>
  <c r="G119" i="4"/>
  <c r="C121" i="4"/>
  <c r="D120" i="4"/>
  <c r="F120" i="4" s="1"/>
  <c r="G120" i="4" s="1"/>
  <c r="C72" i="4"/>
  <c r="D71" i="4"/>
  <c r="F71" i="4" s="1"/>
  <c r="G71" i="4" s="1"/>
  <c r="B133" i="4"/>
  <c r="C133" i="4" s="1"/>
  <c r="G133" i="4"/>
  <c r="C132" i="4"/>
  <c r="D129" i="4"/>
  <c r="F129" i="4" s="1"/>
  <c r="Q175" i="4" l="1"/>
  <c r="R175" i="4" s="1"/>
  <c r="O176" i="4"/>
  <c r="G150" i="4"/>
  <c r="G151" i="4"/>
  <c r="D153" i="4"/>
  <c r="C122" i="4"/>
  <c r="D121" i="4"/>
  <c r="F121" i="4" s="1"/>
  <c r="G121" i="4" s="1"/>
  <c r="C73" i="4"/>
  <c r="D72" i="4"/>
  <c r="F72" i="4" s="1"/>
  <c r="G72" i="4" s="1"/>
  <c r="D130" i="4"/>
  <c r="F130" i="4" s="1"/>
  <c r="O177" i="4" l="1"/>
  <c r="Q176" i="4"/>
  <c r="R176" i="4" s="1"/>
  <c r="F153" i="4"/>
  <c r="D154" i="4"/>
  <c r="F152" i="4"/>
  <c r="C123" i="4"/>
  <c r="D122" i="4"/>
  <c r="F122" i="4" s="1"/>
  <c r="C74" i="4"/>
  <c r="D73" i="4"/>
  <c r="F73" i="4" s="1"/>
  <c r="G73" i="4" s="1"/>
  <c r="D131" i="4"/>
  <c r="F131" i="4" s="1"/>
  <c r="O178" i="4" l="1"/>
  <c r="Q177" i="4"/>
  <c r="R177" i="4" s="1"/>
  <c r="D155" i="4"/>
  <c r="G152" i="4"/>
  <c r="G153" i="4"/>
  <c r="G122" i="4"/>
  <c r="C124" i="4"/>
  <c r="D123" i="4"/>
  <c r="F123" i="4" s="1"/>
  <c r="G123" i="4" s="1"/>
  <c r="C75" i="4"/>
  <c r="D74" i="4"/>
  <c r="F74" i="4" s="1"/>
  <c r="G74" i="4" s="1"/>
  <c r="D132" i="4"/>
  <c r="F132" i="4" s="1"/>
  <c r="O179" i="4" l="1"/>
  <c r="Q178" i="4"/>
  <c r="R178" i="4" s="1"/>
  <c r="F155" i="4"/>
  <c r="D156" i="4"/>
  <c r="F154" i="4"/>
  <c r="C125" i="4"/>
  <c r="D124" i="4"/>
  <c r="F124" i="4" s="1"/>
  <c r="G124" i="4" s="1"/>
  <c r="C76" i="4"/>
  <c r="D75" i="4"/>
  <c r="F75" i="4" s="1"/>
  <c r="G75" i="4" s="1"/>
  <c r="D133" i="4"/>
  <c r="F133" i="4" s="1"/>
  <c r="O180" i="4" l="1"/>
  <c r="Q179" i="4"/>
  <c r="R179" i="4" s="1"/>
  <c r="F156" i="4"/>
  <c r="G156" i="4" s="1"/>
  <c r="D157" i="4"/>
  <c r="G154" i="4"/>
  <c r="G155" i="4"/>
  <c r="C126" i="4"/>
  <c r="D125" i="4"/>
  <c r="F125" i="4" s="1"/>
  <c r="G125" i="4" s="1"/>
  <c r="C77" i="4"/>
  <c r="D76" i="4"/>
  <c r="F76" i="4" s="1"/>
  <c r="G76" i="4" s="1"/>
  <c r="O181" i="4" l="1"/>
  <c r="Q180" i="4"/>
  <c r="R180" i="4" s="1"/>
  <c r="F157" i="4"/>
  <c r="G157" i="4" s="1"/>
  <c r="D158" i="4"/>
  <c r="C127" i="4"/>
  <c r="D126" i="4"/>
  <c r="F126" i="4" s="1"/>
  <c r="G126" i="4" s="1"/>
  <c r="C78" i="4"/>
  <c r="D77" i="4"/>
  <c r="F77" i="4" s="1"/>
  <c r="G77" i="4" s="1"/>
  <c r="O182" i="4" l="1"/>
  <c r="Q181" i="4"/>
  <c r="R181" i="4" s="1"/>
  <c r="F158" i="4"/>
  <c r="G158" i="4" s="1"/>
  <c r="D159" i="4"/>
  <c r="C128" i="4"/>
  <c r="D128" i="4" s="1"/>
  <c r="F128" i="4" s="1"/>
  <c r="D127" i="4"/>
  <c r="F127" i="4" s="1"/>
  <c r="G127" i="4" s="1"/>
  <c r="C79" i="4"/>
  <c r="D78" i="4"/>
  <c r="F78" i="4" s="1"/>
  <c r="G78" i="4" s="1"/>
  <c r="Q182" i="4" l="1"/>
  <c r="R182" i="4" s="1"/>
  <c r="O183" i="4"/>
  <c r="F159" i="4"/>
  <c r="G159" i="4" s="1"/>
  <c r="D160" i="4"/>
  <c r="G129" i="4"/>
  <c r="G128" i="4"/>
  <c r="C80" i="4"/>
  <c r="D79" i="4"/>
  <c r="F79" i="4" s="1"/>
  <c r="G79" i="4" s="1"/>
  <c r="F160" i="4" l="1"/>
  <c r="G160" i="4" s="1"/>
  <c r="D161" i="4"/>
  <c r="C81" i="4"/>
  <c r="D80" i="4"/>
  <c r="F80" i="4" s="1"/>
  <c r="G80" i="4" s="1"/>
  <c r="Q183" i="4" l="1"/>
  <c r="R183" i="4" s="1"/>
  <c r="E180" i="4" s="1"/>
  <c r="F161" i="4"/>
  <c r="G161" i="4" s="1"/>
  <c r="D162" i="4"/>
  <c r="C82" i="4"/>
  <c r="D81" i="4"/>
  <c r="F81" i="4" s="1"/>
  <c r="G81" i="4" s="1"/>
  <c r="F162" i="4" l="1"/>
  <c r="G162" i="4" s="1"/>
  <c r="D163" i="4"/>
  <c r="C83" i="4"/>
  <c r="D82" i="4"/>
  <c r="F82" i="4" s="1"/>
  <c r="G82" i="4" s="1"/>
  <c r="F163" i="4" l="1"/>
  <c r="G163" i="4" s="1"/>
  <c r="D164" i="4"/>
  <c r="C84" i="4"/>
  <c r="D83" i="4"/>
  <c r="F83" i="4" s="1"/>
  <c r="G83" i="4" s="1"/>
  <c r="F164" i="4" l="1"/>
  <c r="G164" i="4" s="1"/>
  <c r="D165" i="4"/>
  <c r="C85" i="4"/>
  <c r="D85" i="4" s="1"/>
  <c r="F85" i="4" s="1"/>
  <c r="G85" i="4" s="1"/>
  <c r="D84" i="4"/>
  <c r="F84" i="4" s="1"/>
  <c r="G84" i="4" s="1"/>
  <c r="F165" i="4" l="1"/>
  <c r="G165" i="4" s="1"/>
  <c r="D166" i="4"/>
  <c r="F166" i="4" l="1"/>
  <c r="G166" i="4" s="1"/>
  <c r="D167" i="4"/>
  <c r="F167" i="4" l="1"/>
  <c r="G167" i="4" s="1"/>
  <c r="D168" i="4"/>
  <c r="F168" i="4" l="1"/>
  <c r="G168" i="4" s="1"/>
  <c r="D169" i="4"/>
  <c r="F169" i="4" l="1"/>
  <c r="G169" i="4" s="1"/>
  <c r="D170" i="4"/>
  <c r="F170" i="4" l="1"/>
  <c r="G170" i="4" s="1"/>
  <c r="D171" i="4"/>
  <c r="F171" i="4" l="1"/>
  <c r="G171" i="4" s="1"/>
  <c r="D172" i="4"/>
  <c r="F172" i="4" l="1"/>
  <c r="G172" i="4" s="1"/>
  <c r="D173" i="4"/>
  <c r="T10" i="1"/>
  <c r="T12" i="1" l="1"/>
  <c r="T14" i="1" s="1"/>
  <c r="T18" i="1"/>
  <c r="T19" i="1" s="1"/>
  <c r="F173" i="4"/>
  <c r="G173" i="4" s="1"/>
  <c r="D174" i="4"/>
  <c r="F174" i="4" l="1"/>
  <c r="G174" i="4" s="1"/>
  <c r="D175" i="4"/>
  <c r="F175" i="4" l="1"/>
  <c r="G175" i="4" s="1"/>
  <c r="G24" i="4" l="1"/>
  <c r="G26" i="4" s="1"/>
  <c r="C54" i="12" s="1"/>
  <c r="C55" i="12" s="1"/>
  <c r="C57" i="12" s="1"/>
  <c r="E179" i="4"/>
  <c r="E181" i="4" s="1"/>
  <c r="B66" i="1" l="1"/>
  <c r="C24" i="1" l="1"/>
  <c r="C26" i="1" s="1"/>
  <c r="C25" i="1" s="1"/>
  <c r="C30" i="1"/>
  <c r="C29" i="1"/>
  <c r="C28" i="1" l="1"/>
  <c r="C27" i="1" l="1"/>
  <c r="B80" i="1" s="1"/>
  <c r="C89" i="1" s="1"/>
  <c r="D89" i="1" s="1"/>
  <c r="F88" i="1" l="1"/>
  <c r="G88" i="1" s="1"/>
  <c r="C90" i="1" s="1"/>
  <c r="E88" i="1"/>
  <c r="D90" i="1"/>
  <c r="D91" i="1" l="1"/>
  <c r="E89" i="1"/>
  <c r="F89" i="1"/>
  <c r="G89" i="1" s="1"/>
  <c r="C91" i="1" s="1"/>
  <c r="F90" i="1" l="1"/>
  <c r="G90" i="1" s="1"/>
  <c r="C92" i="1" s="1"/>
  <c r="D92" i="1"/>
  <c r="E90" i="1"/>
  <c r="E91" i="1" l="1"/>
  <c r="D93" i="1"/>
  <c r="F91" i="1"/>
  <c r="G91" i="1" s="1"/>
  <c r="C93" i="1" s="1"/>
  <c r="F92" i="1" l="1"/>
  <c r="G92" i="1" s="1"/>
  <c r="C94" i="1" s="1"/>
  <c r="D94" i="1"/>
  <c r="E92" i="1"/>
  <c r="D95" i="1" l="1"/>
  <c r="E93" i="1"/>
  <c r="F93" i="1"/>
  <c r="G93" i="1" s="1"/>
  <c r="C95" i="1" s="1"/>
  <c r="F94" i="1" l="1"/>
  <c r="G94" i="1" s="1"/>
  <c r="C96" i="1" s="1"/>
  <c r="D96" i="1"/>
  <c r="E94" i="1"/>
  <c r="E95" i="1" l="1"/>
  <c r="D97" i="1"/>
  <c r="F95" i="1"/>
  <c r="G95" i="1" s="1"/>
  <c r="C97" i="1" s="1"/>
  <c r="F96" i="1" s="1"/>
  <c r="G96" i="1" s="1"/>
  <c r="C98" i="1" s="1"/>
  <c r="D98" i="1" l="1"/>
  <c r="E96" i="1"/>
  <c r="F97" i="1" l="1"/>
  <c r="G97" i="1" s="1"/>
  <c r="C99" i="1" s="1"/>
  <c r="E97" i="1"/>
  <c r="D99" i="1"/>
  <c r="F98" i="1" l="1"/>
  <c r="G98" i="1" s="1"/>
  <c r="C100" i="1" s="1"/>
  <c r="D100" i="1"/>
  <c r="E98" i="1"/>
  <c r="F99" i="1" l="1"/>
  <c r="G99" i="1" s="1"/>
  <c r="C101" i="1" s="1"/>
  <c r="D101" i="1"/>
  <c r="E99" i="1"/>
  <c r="F100" i="1" l="1"/>
  <c r="G100" i="1" s="1"/>
  <c r="C102" i="1" s="1"/>
  <c r="E100" i="1"/>
  <c r="D102" i="1"/>
  <c r="D103" i="1" l="1"/>
  <c r="E101" i="1"/>
  <c r="F101" i="1"/>
  <c r="G101" i="1" s="1"/>
  <c r="C103" i="1" s="1"/>
  <c r="F102" i="1" s="1"/>
  <c r="G102" i="1" s="1"/>
  <c r="C104" i="1" s="1"/>
  <c r="E102" i="1" l="1"/>
  <c r="D104" i="1"/>
  <c r="E103" i="1" l="1"/>
  <c r="D105" i="1"/>
  <c r="F103" i="1"/>
  <c r="G103" i="1" s="1"/>
  <c r="C105" i="1" s="1"/>
  <c r="F104" i="1" l="1"/>
  <c r="G104" i="1" s="1"/>
  <c r="C106" i="1" s="1"/>
  <c r="D106" i="1"/>
  <c r="E104" i="1"/>
  <c r="F105" i="1" l="1"/>
  <c r="G105" i="1" s="1"/>
  <c r="C107" i="1" s="1"/>
  <c r="E105" i="1"/>
  <c r="D107" i="1"/>
  <c r="E106" i="1" l="1"/>
  <c r="D108" i="1"/>
  <c r="F106" i="1"/>
  <c r="G106" i="1" s="1"/>
  <c r="C108" i="1" s="1"/>
  <c r="F107" i="1" l="1"/>
  <c r="G107" i="1" s="1"/>
  <c r="C109" i="1" s="1"/>
  <c r="D109" i="1"/>
  <c r="E107" i="1"/>
  <c r="F108" i="1" l="1"/>
  <c r="G108" i="1" s="1"/>
  <c r="C110" i="1" s="1"/>
  <c r="E108" i="1"/>
  <c r="D110" i="1"/>
  <c r="E109" i="1" l="1"/>
  <c r="D111" i="1"/>
  <c r="F109" i="1"/>
  <c r="G109" i="1" s="1"/>
  <c r="C111" i="1" s="1"/>
  <c r="F110" i="1" l="1"/>
  <c r="G110" i="1" s="1"/>
  <c r="C112" i="1" s="1"/>
  <c r="D112" i="1"/>
  <c r="E110" i="1"/>
  <c r="F111" i="1" l="1"/>
  <c r="G111" i="1" s="1"/>
  <c r="C113" i="1" s="1"/>
  <c r="E111" i="1"/>
  <c r="D113" i="1"/>
  <c r="E112" i="1" l="1"/>
  <c r="D114" i="1"/>
  <c r="F112" i="1"/>
  <c r="G112" i="1" s="1"/>
  <c r="C114" i="1" s="1"/>
  <c r="F113" i="1" l="1"/>
  <c r="G113" i="1" s="1"/>
  <c r="C115" i="1" s="1"/>
  <c r="E113" i="1"/>
  <c r="D115" i="1"/>
  <c r="D116" i="1" l="1"/>
  <c r="E114" i="1"/>
  <c r="F114" i="1"/>
  <c r="G114" i="1" s="1"/>
  <c r="C116" i="1" s="1"/>
  <c r="F115" i="1" l="1"/>
  <c r="G115" i="1" s="1"/>
  <c r="C117" i="1" s="1"/>
  <c r="E115" i="1"/>
  <c r="D117" i="1"/>
  <c r="D118" i="1" l="1"/>
  <c r="E116" i="1"/>
  <c r="F116" i="1"/>
  <c r="G116" i="1" s="1"/>
  <c r="C118" i="1" s="1"/>
  <c r="F117" i="1" l="1"/>
  <c r="G117" i="1" s="1"/>
  <c r="C119" i="1" s="1"/>
  <c r="E117" i="1"/>
  <c r="D119" i="1"/>
  <c r="E118" i="1" l="1"/>
  <c r="D120" i="1"/>
  <c r="F118" i="1"/>
  <c r="G118" i="1" s="1"/>
  <c r="C120" i="1" s="1"/>
  <c r="F119" i="1" l="1"/>
  <c r="G119" i="1" s="1"/>
  <c r="C121" i="1" s="1"/>
  <c r="D121" i="1"/>
  <c r="E119" i="1"/>
  <c r="F120" i="1" l="1"/>
  <c r="G120" i="1" s="1"/>
  <c r="C122" i="1" s="1"/>
  <c r="E120" i="1"/>
  <c r="D122" i="1"/>
  <c r="E121" i="1" l="1"/>
  <c r="D123" i="1"/>
  <c r="F121" i="1"/>
  <c r="G121" i="1" s="1"/>
  <c r="C123" i="1" s="1"/>
  <c r="F122" i="1" l="1"/>
  <c r="G122" i="1" s="1"/>
  <c r="C124" i="1" s="1"/>
  <c r="E122" i="1"/>
  <c r="D124" i="1"/>
  <c r="F123" i="1" l="1"/>
  <c r="G123" i="1" s="1"/>
  <c r="C125" i="1" s="1"/>
  <c r="D125" i="1"/>
  <c r="E123" i="1"/>
  <c r="F124" i="1" l="1"/>
  <c r="G124" i="1" s="1"/>
  <c r="C126" i="1" s="1"/>
  <c r="E124" i="1"/>
  <c r="D126" i="1"/>
  <c r="E125" i="1" l="1"/>
  <c r="D127" i="1"/>
  <c r="F125" i="1"/>
  <c r="G125" i="1" s="1"/>
  <c r="C127" i="1" s="1"/>
  <c r="F126" i="1" l="1"/>
  <c r="G126" i="1" s="1"/>
  <c r="C128" i="1" s="1"/>
  <c r="D128" i="1"/>
  <c r="E126" i="1"/>
  <c r="F127" i="1" l="1"/>
  <c r="G127" i="1" s="1"/>
  <c r="C129" i="1" s="1"/>
  <c r="E127" i="1"/>
  <c r="D129" i="1"/>
  <c r="E128" i="1" l="1"/>
  <c r="D130" i="1"/>
  <c r="E129" i="1" s="1"/>
  <c r="F128" i="1"/>
  <c r="G128" i="1" s="1"/>
  <c r="C130" i="1" s="1"/>
  <c r="F129" i="1" l="1"/>
  <c r="G12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Utilizador</author>
  </authors>
  <commentList>
    <comment ref="B39" authorId="0" shapeId="0" xr:uid="{4169CF15-8901-4427-9302-B3E7781AD086}">
      <text>
        <r>
          <rPr>
            <b/>
            <sz val="9"/>
            <color indexed="81"/>
            <rFont val="Tahoma"/>
            <family val="2"/>
          </rPr>
          <t>Utilizador:</t>
        </r>
        <r>
          <rPr>
            <sz val="9"/>
            <color indexed="81"/>
            <rFont val="Tahoma"/>
            <family val="2"/>
          </rPr>
          <t xml:space="preserve">
This adjustment recognizes the fact that the income from different professions can vary significantly. It should consider the stability of the income stream as well as interruption of the income stream.</t>
        </r>
      </text>
    </comment>
    <comment ref="M39" authorId="0" shapeId="0" xr:uid="{188B6F06-7CEC-46D9-AC6A-DEF7675968EC}">
      <text>
        <r>
          <rPr>
            <b/>
            <sz val="9"/>
            <color indexed="81"/>
            <rFont val="Tahoma"/>
            <family val="2"/>
          </rPr>
          <t>Utilizador:</t>
        </r>
        <r>
          <rPr>
            <sz val="9"/>
            <color indexed="81"/>
            <rFont val="Tahoma"/>
            <family val="2"/>
          </rPr>
          <t xml:space="preserve">
This adjustment recognizes the fact that the income from different professions can vary significantly. It should consider the stability of the income stream as well as interruption of the income stream.</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E84561-728A-4CC3-839F-081588863137}" keepAlive="1" name="Query - SP500_10yr_InterestRates" description="Connection to the 'SP500_10yr_InterestRates' query in the workbook." type="5" refreshedVersion="8" background="1" saveData="1">
    <dbPr connection="Provider=Microsoft.Mashup.OleDb.1;Data Source=$Workbook$;Location=SP500_10yr_InterestRates;Extended Properties=&quot;&quot;" command="SELECT * FROM [SP500_10yr_InterestRates]"/>
  </connection>
</connections>
</file>

<file path=xl/sharedStrings.xml><?xml version="1.0" encoding="utf-8"?>
<sst xmlns="http://schemas.openxmlformats.org/spreadsheetml/2006/main" count="375" uniqueCount="290">
  <si>
    <t>Retirement</t>
  </si>
  <si>
    <t>Portfolio</t>
  </si>
  <si>
    <t>Expected Net Return</t>
  </si>
  <si>
    <t>Base inflation</t>
  </si>
  <si>
    <t>Target before tax and protected against loss of purchasing power</t>
  </si>
  <si>
    <t>Target after tax and protected against loss of purchasing power</t>
  </si>
  <si>
    <t>Age</t>
  </si>
  <si>
    <t>Primary Capital (Core)</t>
  </si>
  <si>
    <t>Personal Risk Bucket (cash, DP, etc)</t>
  </si>
  <si>
    <t>Market Risk Bucket (a tua IPS Retirement)</t>
  </si>
  <si>
    <t xml:space="preserve">Surplus Capital (satellite) </t>
  </si>
  <si>
    <t>Goals-based advice</t>
  </si>
  <si>
    <t>Goal</t>
  </si>
  <si>
    <t>1st Time Horizon - Period until target goal</t>
  </si>
  <si>
    <t>2nd Time Horizon - Period until target goal</t>
  </si>
  <si>
    <t>Financial plan Starting Date</t>
  </si>
  <si>
    <t>Initial Portfolio Value</t>
  </si>
  <si>
    <t>Financial Goals</t>
  </si>
  <si>
    <t>Goal #1</t>
  </si>
  <si>
    <t>Type of Withrawal / Contribution</t>
  </si>
  <si>
    <t>Frequency (years/quarterly/monthly)</t>
  </si>
  <si>
    <t>Yearly Savings or Contributions</t>
  </si>
  <si>
    <t>A goal is an objective; a target has a numerical value</t>
  </si>
  <si>
    <t>Tax rate</t>
  </si>
  <si>
    <t>Cash</t>
  </si>
  <si>
    <t>Starts</t>
  </si>
  <si>
    <t>Frequency</t>
  </si>
  <si>
    <t>Risk Management for Individuals</t>
  </si>
  <si>
    <t>Life Balance Sheet</t>
  </si>
  <si>
    <t>To better understand the financial health of an individual—and how to manage the risks faced by that individual—we can use an economic balance sheet (or holistic balance sheet).</t>
  </si>
  <si>
    <t>Economic (holistic) balance sheet</t>
  </si>
  <si>
    <t>A balance sheet that provides an individual's total wealth portfolio, supplementing traditional balance sheet assets with human capital and pension wealth, and expanding liabilities to include consuption and bequest goals.</t>
  </si>
  <si>
    <t>It incorporates the concept of Life-cycle planning</t>
  </si>
  <si>
    <t>Statement of Cash Flows</t>
  </si>
  <si>
    <t>Assets</t>
  </si>
  <si>
    <t>Liabilities</t>
  </si>
  <si>
    <t>Current</t>
  </si>
  <si>
    <t>Financial Capital</t>
  </si>
  <si>
    <t>Debts</t>
  </si>
  <si>
    <t>Inflows</t>
  </si>
  <si>
    <t>Liquid assets</t>
  </si>
  <si>
    <t>Credit card debt</t>
  </si>
  <si>
    <t>Salary</t>
  </si>
  <si>
    <t>Investment assets</t>
  </si>
  <si>
    <t>Car loan</t>
  </si>
  <si>
    <t>Personal property</t>
  </si>
  <si>
    <t>Home mortgage</t>
  </si>
  <si>
    <t>Pensions</t>
  </si>
  <si>
    <t>Home equity loan</t>
  </si>
  <si>
    <t>Sale of company positions</t>
  </si>
  <si>
    <t>Sale of real estate</t>
  </si>
  <si>
    <t>Human Capital</t>
  </si>
  <si>
    <t>Lifetime consumption needs (PV)</t>
  </si>
  <si>
    <t>Total inflows</t>
  </si>
  <si>
    <t>Pension Value</t>
  </si>
  <si>
    <t>Outflows</t>
  </si>
  <si>
    <t>Bequests</t>
  </si>
  <si>
    <t>Taxes</t>
  </si>
  <si>
    <t>Total Assets</t>
  </si>
  <si>
    <t>Total Liabilities</t>
  </si>
  <si>
    <t>Real estate investments</t>
  </si>
  <si>
    <t>Set up of a business</t>
  </si>
  <si>
    <t>Net wealth</t>
  </si>
  <si>
    <t>Support</t>
  </si>
  <si>
    <t>Living and miscellaneous expenses*</t>
  </si>
  <si>
    <t>Total outflows</t>
  </si>
  <si>
    <t>Stocks, bonds, taxable accounts, retirement plans, cash value of life insurance, business assets, collectibles, real estate, annuities.</t>
  </si>
  <si>
    <t>Net additions/withdrawalls</t>
  </si>
  <si>
    <t>House, cars, house contents</t>
  </si>
  <si>
    <t>* Assumed to increase with annual inflation at x% annually.</t>
  </si>
  <si>
    <t>Estimating the Present Value of Human Capital</t>
  </si>
  <si>
    <t>We should see HC as an asset with its own risk and return characteristics.</t>
  </si>
  <si>
    <r>
      <t>The income from employment (annual), w</t>
    </r>
    <r>
      <rPr>
        <vertAlign val="subscript"/>
        <sz val="11"/>
        <color theme="1"/>
        <rFont val="Calibri"/>
        <family val="2"/>
        <scheme val="minor"/>
      </rPr>
      <t>t</t>
    </r>
  </si>
  <si>
    <r>
      <t>The annaul wage growth rate, g</t>
    </r>
    <r>
      <rPr>
        <vertAlign val="subscript"/>
        <sz val="11"/>
        <color theme="1"/>
        <rFont val="Calibri"/>
        <family val="2"/>
        <scheme val="minor"/>
      </rPr>
      <t>t</t>
    </r>
  </si>
  <si>
    <r>
      <t>The nominal Risk-free rate, r</t>
    </r>
    <r>
      <rPr>
        <vertAlign val="subscript"/>
        <sz val="11"/>
        <color theme="1"/>
        <rFont val="Calibri"/>
        <family val="2"/>
        <scheme val="minor"/>
      </rPr>
      <t>f</t>
    </r>
  </si>
  <si>
    <t>Occupational income volatility, y</t>
  </si>
  <si>
    <t>The lengh of working life in years, N</t>
  </si>
  <si>
    <t>Risk-free rate</t>
  </si>
  <si>
    <t>Inc vol adjustment</t>
  </si>
  <si>
    <t>Total discount rate</t>
  </si>
  <si>
    <t>Real Estate</t>
  </si>
  <si>
    <t>Year</t>
  </si>
  <si>
    <t>Wages (w/ annual growth)</t>
  </si>
  <si>
    <t>PV of wages</t>
  </si>
  <si>
    <t>Probability of Survival</t>
  </si>
  <si>
    <t>Probability weighted wages</t>
  </si>
  <si>
    <t>Lifetime consumption needs</t>
  </si>
  <si>
    <t>Annual consumption</t>
  </si>
  <si>
    <t>PV of consumption</t>
  </si>
  <si>
    <t>Probability weighted consumption</t>
  </si>
  <si>
    <t>Inflation</t>
  </si>
  <si>
    <t xml:space="preserve"> Wealth</t>
  </si>
  <si>
    <t>Bank accounts</t>
  </si>
  <si>
    <t>Total of liquid assets</t>
  </si>
  <si>
    <t>Asset Management fees and expenses</t>
  </si>
  <si>
    <t>Wealth = HC + FC</t>
  </si>
  <si>
    <t>Insurance Need</t>
  </si>
  <si>
    <t>One of the key assumptions is: the investor wants to maintain the real value of the portfolio</t>
  </si>
  <si>
    <t>Asset base: 100,000</t>
  </si>
  <si>
    <t>Portfolio needs 5,000 per year</t>
  </si>
  <si>
    <t>% return = 5,000/100,000 = real return = 5%</t>
  </si>
  <si>
    <t>Nominal return = 7%</t>
  </si>
  <si>
    <t>Portfolio needs after tax = 5,000/(1-0,20) = 6,250</t>
  </si>
  <si>
    <t>Pre-tax return = 6,25%</t>
  </si>
  <si>
    <t>Pre-tax nominal = 8,25%</t>
  </si>
  <si>
    <t>Return calculation – Grow the portfolio</t>
  </si>
  <si>
    <t>The words “maintain the real value of the portfolio” will not be there in the case study.</t>
  </si>
  <si>
    <t xml:space="preserve">If they don’t say is inflation-adjusted we assume nominal </t>
  </si>
  <si>
    <t>PV = -100,000</t>
  </si>
  <si>
    <t>FV = 150,000</t>
  </si>
  <si>
    <t>N = 10 (investment horizon)</t>
  </si>
  <si>
    <t>PMT = 5,000 (if is spending is a + signal; if is a saving is a – signal)</t>
  </si>
  <si>
    <t>1/Y = 8,39% - after tax nominal</t>
  </si>
  <si>
    <t>So if inflation figure is 2%</t>
  </si>
  <si>
    <t>After-tax real return = 8,39% (before assumption of inflation this was an after-tax nominal return)</t>
  </si>
  <si>
    <t>Inflation = 2%</t>
  </si>
  <si>
    <t xml:space="preserve">After-tax nominal = 10,39% </t>
  </si>
  <si>
    <t>Another situation is related with taxes. If PMT is assumed to be before taxes than it would be 6,250</t>
  </si>
  <si>
    <t>After Tax Required Rate of Return and After Expenses</t>
  </si>
  <si>
    <t>Pre-tax Required Real Rate of Return</t>
  </si>
  <si>
    <t>Pre-tax Required Nominal Rate of Return</t>
  </si>
  <si>
    <t>Return Calculation - Portfolio Growth</t>
  </si>
  <si>
    <t>Target after tax, in inflation-adjusted money</t>
  </si>
  <si>
    <t>Target before tax, in inflation-adusted money</t>
  </si>
  <si>
    <t>Acc Prob Weigh. Wages</t>
  </si>
  <si>
    <t>Acc Prob weighted consumption</t>
  </si>
  <si>
    <t>Carteira de investimento</t>
  </si>
  <si>
    <t>Ativos de coleção</t>
  </si>
  <si>
    <t>Ativos imobiliários</t>
  </si>
  <si>
    <t>Total Investment Assets</t>
  </si>
  <si>
    <t>Pensões governamentais</t>
  </si>
  <si>
    <t>PPR</t>
  </si>
  <si>
    <t>Carros e outros meios transporte</t>
  </si>
  <si>
    <t>Recheio da casa</t>
  </si>
  <si>
    <t>Total Personal property</t>
  </si>
  <si>
    <t>A.</t>
  </si>
  <si>
    <t>Personal Risk Bucket</t>
  </si>
  <si>
    <r>
      <rPr>
        <b/>
        <u/>
        <sz val="10"/>
        <color theme="1"/>
        <rFont val="Calibri"/>
        <family val="2"/>
        <scheme val="minor"/>
      </rPr>
      <t>Primary Capital:</t>
    </r>
    <r>
      <rPr>
        <sz val="10"/>
        <color theme="1"/>
        <rFont val="Calibri"/>
        <family val="2"/>
        <scheme val="minor"/>
      </rPr>
      <t xml:space="preserve"> Assets held outside a concentrated position that are at least sufficient to provide for the owner's lifetime spending needs (the first two risk buckets)</t>
    </r>
  </si>
  <si>
    <t>That part of wealth allocated to investments intended to protect the client from a drastic decrease in lifestyle</t>
  </si>
  <si>
    <t>Money market funds, CD's, personal residence</t>
  </si>
  <si>
    <t>B.</t>
  </si>
  <si>
    <t>Market Risk Bucket</t>
  </si>
  <si>
    <t>That part of wealth allocated to investments intended to maintain the client's current standard of living.</t>
  </si>
  <si>
    <t>A portfolio of stocks and bonds</t>
  </si>
  <si>
    <t>C.</t>
  </si>
  <si>
    <t>Aspirational Risk Bucket</t>
  </si>
  <si>
    <r>
      <rPr>
        <b/>
        <u/>
        <sz val="10"/>
        <color theme="1"/>
        <rFont val="Calibri"/>
        <family val="2"/>
        <scheme val="minor"/>
      </rPr>
      <t>Surplus capital:</t>
    </r>
    <r>
      <rPr>
        <sz val="10"/>
        <color theme="1"/>
        <rFont val="Calibri"/>
        <family val="2"/>
        <scheme val="minor"/>
      </rPr>
      <t xml:space="preserve"> capital that is in excess of primary capital. It comprises allocations to aspirational risk bucket</t>
    </r>
  </si>
  <si>
    <t>That part of wealth allocated to investments that have the potential to increase a client's wealth substantially.</t>
  </si>
  <si>
    <t>Private Business, concentrated stock holdings, real estate, and other riskier positions</t>
  </si>
  <si>
    <t>Goal-based planning expands the traditional Markowitz framework of diversifying market risk.</t>
  </si>
  <si>
    <t>Modifies traditional mean-variance analysis to accomodate the insights of behavioral finance theory.</t>
  </si>
  <si>
    <t>The portfolio is divided into tiers of a pyramid or risk buckets, with each tier or bucket designed to meet progressive levels of client goals</t>
  </si>
  <si>
    <t>Capital core</t>
  </si>
  <si>
    <t>Estimates vary and would certainly be affected by individual circumstances, but some economists estimate that two people can maintain the same living standard for 1.6 times the cost of one</t>
  </si>
  <si>
    <t>the cash flows are not without risk but their uncertainty is most likely unrelated to market risk factors that would be priced in a normal asset pricing model, making their beta equal to zero. One may argue that, although mortality risk in this context is non-systematic, it is also non-diversifiable. However, mortality risk can be hedged with traditional life insurance allowing the individual to eliminate the non-systematic risk even if it is non-diversifiable. Therefore, discounting spending needs with the risk-free rate is appropriate.</t>
  </si>
  <si>
    <r>
      <t>R</t>
    </r>
    <r>
      <rPr>
        <vertAlign val="subscript"/>
        <sz val="11"/>
        <color theme="1"/>
        <rFont val="Calibri"/>
        <family val="2"/>
        <scheme val="minor"/>
      </rPr>
      <t>G</t>
    </r>
    <r>
      <rPr>
        <sz val="11"/>
        <color theme="1"/>
        <rFont val="Calibri"/>
        <family val="2"/>
        <scheme val="minor"/>
      </rPr>
      <t xml:space="preserve"> ≅ r − 1/2 σ</t>
    </r>
    <r>
      <rPr>
        <vertAlign val="superscript"/>
        <sz val="11"/>
        <color theme="1"/>
        <rFont val="Calibri"/>
        <family val="2"/>
        <scheme val="minor"/>
      </rPr>
      <t>2</t>
    </r>
  </si>
  <si>
    <t>r</t>
  </si>
  <si>
    <t>Arithmetic return</t>
  </si>
  <si>
    <t>σ</t>
  </si>
  <si>
    <t>Volatility of the arithmetic return</t>
  </si>
  <si>
    <t>Milevsky and Robinson developed a method to calculate sustainable spending rates that aproximate those produced from a Monte Carlo simulation but without the need for simulation.</t>
  </si>
  <si>
    <t>Return Calculation - Maintaining the real vaue of the portfolio</t>
  </si>
  <si>
    <t>Portfolio needs per year</t>
  </si>
  <si>
    <t>If taxes are considered</t>
  </si>
  <si>
    <t>Total needs and fees</t>
  </si>
  <si>
    <t>Consumption needs</t>
  </si>
  <si>
    <t>Portfolio needs per year before-tax (real)</t>
  </si>
  <si>
    <t>Total needs and fees (real)</t>
  </si>
  <si>
    <t>Nominal interest rate</t>
  </si>
  <si>
    <t>Inflation rate</t>
  </si>
  <si>
    <t>Before-tax real rate of return</t>
  </si>
  <si>
    <t>Tax on nominal rate of return</t>
  </si>
  <si>
    <t>After-tax real rate of return</t>
  </si>
  <si>
    <t>After-tax nominal rate of return</t>
  </si>
  <si>
    <t>After-tax Required Real Rate of Return</t>
  </si>
  <si>
    <t>After-tax Required Nominal Rate of Return</t>
  </si>
  <si>
    <t>after-tax nominal rate of return</t>
  </si>
  <si>
    <t>after-tax real rate of return</t>
  </si>
  <si>
    <t>Nominal return</t>
  </si>
  <si>
    <t>Portfolio Value today</t>
  </si>
  <si>
    <t>After Tax Required Real Rate of Return and before expenses</t>
  </si>
  <si>
    <t>The true value of money, adjusted for the effect of price inflation</t>
  </si>
  <si>
    <t>In current (nominal) terms</t>
  </si>
  <si>
    <t>Valor mensal de poupança necessário para determinado objetivo</t>
  </si>
  <si>
    <t>Withdrawal rate</t>
  </si>
  <si>
    <t>Retirement % Withdrawal Calculator</t>
  </si>
  <si>
    <t>How many years until you retire?</t>
  </si>
  <si>
    <t>Number of Years in Retirement</t>
  </si>
  <si>
    <t>Average Annual Interest Rate you can earn. (while retired)
Compounded (annually)</t>
  </si>
  <si>
    <t>Average Annual Inflation Rate</t>
  </si>
  <si>
    <t>How much $ will you have when you retire?</t>
  </si>
  <si>
    <t>How much will you withdraw annually?</t>
  </si>
  <si>
    <t>As a percentage of the initial total.</t>
  </si>
  <si>
    <t>As a percentage of the annual beginning balance.</t>
  </si>
  <si>
    <t>As a percentage of the initial total, then adjusted annually for inflation.</t>
  </si>
  <si>
    <t>This would give you a fixed amount each year. I would never recommend this. Yes, depending on the interest rate you can earn, your balance may grow tremendously, but your fixed annual withdrawal will not keep up with inflation.</t>
  </si>
  <si>
    <t>Depending on inflation and the rate you can earn, you may or may not be able to maintain your inflation adjusted purchasing power - even if you're withdrawing less (as a percentage) than what you can earn.</t>
  </si>
  <si>
    <t>In most circumstances, this would be the best method to use of the three. However, depending on the rate you can earn and inflation, you still may not have enough money to last through your retirement.</t>
  </si>
  <si>
    <t>Safe withrawal rate</t>
  </si>
  <si>
    <t>Running out of money in year</t>
  </si>
  <si>
    <t>Advisory fees and expenses (transactions)</t>
  </si>
  <si>
    <t>Real estate income</t>
  </si>
  <si>
    <t>Advisory fees</t>
  </si>
  <si>
    <t>Expenses/transactions</t>
  </si>
  <si>
    <t>Carteira de risco pessoal</t>
  </si>
  <si>
    <t>A parte do património alocada a investimentos destinados a proteger o investidor de uma redução drástica do estilo de vida</t>
  </si>
  <si>
    <t>Instrumentos de mercado monetário, depósitos a prazo, certificados de aforro, ativos pessoais.</t>
  </si>
  <si>
    <t>Inclui também ativos líquidos que podem ser utilizados nas restantes carteiras se necessário</t>
  </si>
  <si>
    <t>Valor da carteira</t>
  </si>
  <si>
    <t>Carteira risco de mercado</t>
  </si>
  <si>
    <t>Parcela do património alocada a investimentos destinados à manutenção do atual nível de vida do investidor.</t>
  </si>
  <si>
    <t>Um portefólio de ações e obrigações e outros instrumentos financeiros como ETF ou Fundos de Investimento</t>
  </si>
  <si>
    <t>Carteira de risco aspiracional</t>
  </si>
  <si>
    <t>A parte do património alocada em investimentos que têm o potencial de aumentar substancialmente a riqueza do investidor.</t>
  </si>
  <si>
    <t>But if we assume that we need 150,000 in inflation-adjusted (in real terms) money.</t>
  </si>
  <si>
    <t>Gestão de Carteiras e Planeamento Financeiro</t>
  </si>
  <si>
    <t xml:space="preserve">RG </t>
  </si>
  <si>
    <t>RA</t>
  </si>
  <si>
    <t>Média RA</t>
  </si>
  <si>
    <t>Retorno Simples</t>
  </si>
  <si>
    <t>Casa</t>
  </si>
  <si>
    <t>If taxes are considered, let’s say 20%:</t>
  </si>
  <si>
    <t>Time</t>
  </si>
  <si>
    <t>Number of years</t>
  </si>
  <si>
    <t xml:space="preserve">Value </t>
  </si>
  <si>
    <t>Withrawal amount</t>
  </si>
  <si>
    <t>Withrawal amount adjusted for inflation</t>
  </si>
  <si>
    <t>Gains</t>
  </si>
  <si>
    <t>Initial Portfolio</t>
  </si>
  <si>
    <t>End Portfolio</t>
  </si>
  <si>
    <t>Retirement years</t>
  </si>
  <si>
    <t>with Monte Carlo Simulation</t>
  </si>
  <si>
    <t>Goal-based planning in the concentrated position decision-making process</t>
  </si>
  <si>
    <t>Target Amount in inflation-adjusted money</t>
  </si>
  <si>
    <t>inflation = 3%</t>
  </si>
  <si>
    <t xml:space="preserve">Ela </t>
  </si>
  <si>
    <t>Ele</t>
  </si>
  <si>
    <t>Deixa de trabalhar</t>
  </si>
  <si>
    <t>Esperança média</t>
  </si>
  <si>
    <t>Folga</t>
  </si>
  <si>
    <t>Total</t>
  </si>
  <si>
    <t>Atual</t>
  </si>
  <si>
    <t>Diferença</t>
  </si>
  <si>
    <t>Tempo reforma</t>
  </si>
  <si>
    <t>150 liquidos + 135 investimento + 50 reforma + 20 anos poupança</t>
  </si>
  <si>
    <t>150 liquidos + 135 investimento + 50 reforma + 20 anos poupança (683k)</t>
  </si>
  <si>
    <t>O nosso objetivo até à reforma</t>
  </si>
  <si>
    <t>Annual</t>
  </si>
  <si>
    <t>Withdrawal</t>
  </si>
  <si>
    <t>Stock Options</t>
  </si>
  <si>
    <t>Certificados Aforro</t>
  </si>
  <si>
    <t>Senhora Torga</t>
  </si>
  <si>
    <t>Senhor Torga</t>
  </si>
  <si>
    <t>Fundo de emergência</t>
  </si>
  <si>
    <t>Anos casal</t>
  </si>
  <si>
    <t>Sr. Torga</t>
  </si>
  <si>
    <t>Sra. Torga</t>
  </si>
  <si>
    <t>Vanguard Releases 2024 Economic and Market Outlook | Vanguard</t>
  </si>
  <si>
    <t>Volatilidade Máxima</t>
  </si>
  <si>
    <t>Portfolio Investimento</t>
  </si>
  <si>
    <t>Queda máxima porfolio Investimento</t>
  </si>
  <si>
    <t>Queda máxima 15% património</t>
  </si>
  <si>
    <t>Património Líquido</t>
  </si>
  <si>
    <t>Total Human Capital</t>
  </si>
  <si>
    <t>Reforma</t>
  </si>
  <si>
    <t>Trabalho</t>
  </si>
  <si>
    <t>Dinheiro Necessário início da reforma</t>
  </si>
  <si>
    <t>Inflação</t>
  </si>
  <si>
    <t>Taxa atualização ( Global Equities Developed)</t>
  </si>
  <si>
    <t>Taxa Inflação</t>
  </si>
  <si>
    <t>Taxa Atualização</t>
  </si>
  <si>
    <t>Peso</t>
  </si>
  <si>
    <t>Retorno</t>
  </si>
  <si>
    <t>Global equities (developed)</t>
  </si>
  <si>
    <t>Global bonds</t>
  </si>
  <si>
    <t>Others</t>
  </si>
  <si>
    <t>despesas correntes</t>
  </si>
  <si>
    <t>fundo de emergencia</t>
  </si>
  <si>
    <t>investir dinheiro parado</t>
  </si>
  <si>
    <t>Certificados Aforro ( Fundo Emergencia )</t>
  </si>
  <si>
    <t>Dinheiro Despesas Reforma Valor Presente 2024</t>
  </si>
  <si>
    <t>Levantamentos Bank Accounts</t>
  </si>
  <si>
    <t>Inicial Bank Accounts</t>
  </si>
  <si>
    <t>Final Bank Accounts</t>
  </si>
  <si>
    <t>Idade Atual</t>
  </si>
  <si>
    <t>Reforma Antecipada</t>
  </si>
  <si>
    <t>Esperança média de vida</t>
  </si>
  <si>
    <t>Acréscimo Segurança</t>
  </si>
  <si>
    <t>Idade Total</t>
  </si>
  <si>
    <t>Tempo de reforma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</si>
</sst>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0.00\ &quot;€&quot;;[Red]\-#,##0.00\ &quot;€&quot;"/>
    <numFmt numFmtId="44" formatCode="_-* #,##0.00\ &quot;€&quot;_-;\-* #,##0.00\ &quot;€&quot;_-;_-* &quot;-&quot;??\ &quot;€&quot;_-;_-@_-"/>
    <numFmt numFmtId="164" formatCode="#,##0.00\ [$€-1];\-#,##0.00\ [$€-1]"/>
    <numFmt numFmtId="165" formatCode="0.0%"/>
    <numFmt numFmtId="166" formatCode="0.000%"/>
    <numFmt numFmtId="168" formatCode="#,##0.00\ &quot;€&quot;"/>
  </numFmts>
  <fonts count="19">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name val="Trebuchet MS"/>
      <family val="2"/>
    </font>
    <font>
      <vertAlign val="subscript"/>
      <sz val="11"/>
      <color theme="1"/>
      <name val="Calibri"/>
      <family val="2"/>
      <scheme val="minor"/>
    </font>
    <font>
      <b/>
      <sz val="9"/>
      <color indexed="81"/>
      <name val="Tahoma"/>
      <family val="2"/>
    </font>
    <font>
      <sz val="9"/>
      <color indexed="81"/>
      <name val="Tahoma"/>
      <family val="2"/>
    </font>
    <font>
      <sz val="18"/>
      <color theme="0"/>
      <name val="Calibri"/>
      <family val="2"/>
      <scheme val="minor"/>
    </font>
    <font>
      <u/>
      <sz val="11"/>
      <color theme="10"/>
      <name val="Calibri"/>
      <family val="2"/>
      <scheme val="minor"/>
    </font>
    <font>
      <vertAlign val="superscript"/>
      <sz val="11"/>
      <color theme="1"/>
      <name val="Calibri"/>
      <family val="2"/>
      <scheme val="minor"/>
    </font>
    <font>
      <sz val="10"/>
      <color theme="1"/>
      <name val="Calibri"/>
      <family val="2"/>
      <scheme val="minor"/>
    </font>
    <font>
      <b/>
      <sz val="12"/>
      <color theme="0"/>
      <name val="Calibri"/>
      <family val="2"/>
      <scheme val="minor"/>
    </font>
    <font>
      <sz val="14"/>
      <color theme="0"/>
      <name val="Calibri"/>
      <family val="2"/>
      <scheme val="minor"/>
    </font>
    <font>
      <b/>
      <u/>
      <sz val="10"/>
      <color theme="1"/>
      <name val="Calibri"/>
      <family val="2"/>
      <scheme val="minor"/>
    </font>
    <font>
      <sz val="12"/>
      <color rgb="FF040505"/>
      <name val="FF Mark Pro Regular"/>
    </font>
    <font>
      <sz val="8"/>
      <name val="Calibri"/>
      <family val="2"/>
      <scheme val="minor"/>
    </font>
  </fonts>
  <fills count="14">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4"/>
        <bgColor indexed="64"/>
      </patternFill>
    </fill>
    <fill>
      <patternFill patternType="solid">
        <fgColor theme="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rgb="FFFFFF00"/>
        <bgColor indexed="64"/>
      </patternFill>
    </fill>
  </fills>
  <borders count="34">
    <border>
      <left/>
      <right/>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indexed="64"/>
      </top>
      <bottom style="double">
        <color indexed="64"/>
      </bottom>
      <diagonal/>
    </border>
    <border>
      <left/>
      <right/>
      <top style="thin">
        <color indexed="64"/>
      </top>
      <bottom style="medium">
        <color indexed="64"/>
      </bottom>
      <diagonal/>
    </border>
    <border>
      <left/>
      <right/>
      <top/>
      <bottom style="medium">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style="medium">
        <color theme="4"/>
      </right>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diagonal/>
    </border>
    <border>
      <left style="medium">
        <color theme="4"/>
      </left>
      <right style="medium">
        <color theme="4"/>
      </right>
      <top/>
      <bottom style="medium">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top style="thin">
        <color indexed="64"/>
      </top>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1" fillId="0" borderId="0" applyNumberFormat="0" applyFill="0" applyBorder="0" applyAlignment="0" applyProtection="0"/>
  </cellStyleXfs>
  <cellXfs count="143">
    <xf numFmtId="0" fontId="0" fillId="0" borderId="0" xfId="0"/>
    <xf numFmtId="0" fontId="6" fillId="0" borderId="1" xfId="0" applyFont="1" applyBorder="1"/>
    <xf numFmtId="14" fontId="0" fillId="0" borderId="0" xfId="0" applyNumberFormat="1"/>
    <xf numFmtId="0" fontId="0" fillId="0" borderId="0" xfId="0" applyAlignment="1">
      <alignment horizontal="center"/>
    </xf>
    <xf numFmtId="0" fontId="0" fillId="0" borderId="0" xfId="0" applyAlignment="1">
      <alignment horizontal="left" vertical="center" indent="1"/>
    </xf>
    <xf numFmtId="0" fontId="0" fillId="0" borderId="0" xfId="0" applyAlignment="1">
      <alignment horizontal="left" vertical="center" indent="2"/>
    </xf>
    <xf numFmtId="14" fontId="0" fillId="3" borderId="0" xfId="0" applyNumberFormat="1" applyFill="1"/>
    <xf numFmtId="0" fontId="0" fillId="4" borderId="0" xfId="0" applyFill="1"/>
    <xf numFmtId="164" fontId="0" fillId="4" borderId="0" xfId="0" applyNumberFormat="1" applyFill="1"/>
    <xf numFmtId="10" fontId="0" fillId="4" borderId="0" xfId="0" applyNumberFormat="1" applyFill="1"/>
    <xf numFmtId="8" fontId="0" fillId="6" borderId="0" xfId="0" applyNumberFormat="1" applyFill="1"/>
    <xf numFmtId="0" fontId="0" fillId="6" borderId="0" xfId="0" applyFill="1"/>
    <xf numFmtId="0" fontId="0" fillId="7" borderId="0" xfId="0" applyFill="1"/>
    <xf numFmtId="0" fontId="0" fillId="0" borderId="0" xfId="0" applyAlignment="1">
      <alignment horizontal="left"/>
    </xf>
    <xf numFmtId="0" fontId="4" fillId="0" borderId="0" xfId="0" applyFont="1"/>
    <xf numFmtId="3" fontId="0" fillId="0" borderId="0" xfId="0" applyNumberFormat="1"/>
    <xf numFmtId="0" fontId="0" fillId="0" borderId="2" xfId="0" applyBorder="1"/>
    <xf numFmtId="9" fontId="0" fillId="0" borderId="0" xfId="0" applyNumberFormat="1"/>
    <xf numFmtId="165" fontId="0" fillId="0" borderId="0" xfId="2" applyNumberFormat="1" applyFont="1"/>
    <xf numFmtId="10" fontId="0" fillId="0" borderId="0" xfId="0" applyNumberFormat="1"/>
    <xf numFmtId="166" fontId="0" fillId="0" borderId="0" xfId="0" applyNumberFormat="1"/>
    <xf numFmtId="4" fontId="0" fillId="0" borderId="0" xfId="0" applyNumberFormat="1"/>
    <xf numFmtId="0" fontId="11" fillId="0" borderId="0" xfId="4"/>
    <xf numFmtId="0" fontId="0" fillId="0" borderId="1" xfId="0" applyBorder="1"/>
    <xf numFmtId="10" fontId="0" fillId="0" borderId="0" xfId="2" applyNumberFormat="1" applyFont="1"/>
    <xf numFmtId="4" fontId="0" fillId="0" borderId="1" xfId="0" applyNumberFormat="1" applyBorder="1"/>
    <xf numFmtId="166" fontId="0" fillId="5" borderId="0" xfId="0" applyNumberFormat="1" applyFill="1"/>
    <xf numFmtId="0" fontId="0" fillId="0" borderId="0" xfId="0" applyAlignment="1">
      <alignment vertical="center"/>
    </xf>
    <xf numFmtId="0" fontId="4" fillId="0" borderId="0" xfId="0" applyFont="1" applyAlignment="1">
      <alignment vertical="center"/>
    </xf>
    <xf numFmtId="9" fontId="0" fillId="0" borderId="0" xfId="2" applyFont="1"/>
    <xf numFmtId="0" fontId="0" fillId="10" borderId="1" xfId="0" applyFill="1" applyBorder="1"/>
    <xf numFmtId="0" fontId="4" fillId="9" borderId="7" xfId="0" applyFont="1" applyFill="1" applyBorder="1"/>
    <xf numFmtId="0" fontId="4" fillId="9" borderId="8" xfId="0" applyFont="1" applyFill="1" applyBorder="1"/>
    <xf numFmtId="0" fontId="0" fillId="9" borderId="8" xfId="0" applyFill="1" applyBorder="1"/>
    <xf numFmtId="0" fontId="0" fillId="9" borderId="10" xfId="0" applyFill="1" applyBorder="1"/>
    <xf numFmtId="0" fontId="0" fillId="9" borderId="0" xfId="0" applyFill="1"/>
    <xf numFmtId="0" fontId="0" fillId="9" borderId="12" xfId="0" applyFill="1" applyBorder="1"/>
    <xf numFmtId="0" fontId="0" fillId="9" borderId="6" xfId="0" applyFill="1" applyBorder="1"/>
    <xf numFmtId="0" fontId="4" fillId="11" borderId="7" xfId="0" applyFont="1" applyFill="1" applyBorder="1"/>
    <xf numFmtId="0" fontId="4" fillId="11" borderId="8" xfId="0" applyFont="1" applyFill="1" applyBorder="1"/>
    <xf numFmtId="0" fontId="0" fillId="11" borderId="8" xfId="0" applyFill="1" applyBorder="1"/>
    <xf numFmtId="0" fontId="0" fillId="11" borderId="10" xfId="0" applyFill="1" applyBorder="1"/>
    <xf numFmtId="0" fontId="0" fillId="11" borderId="0" xfId="0" applyFill="1"/>
    <xf numFmtId="0" fontId="0" fillId="11" borderId="12" xfId="0" applyFill="1" applyBorder="1"/>
    <xf numFmtId="0" fontId="0" fillId="11" borderId="6" xfId="0" applyFill="1" applyBorder="1"/>
    <xf numFmtId="164" fontId="0" fillId="0" borderId="0" xfId="0" applyNumberFormat="1"/>
    <xf numFmtId="8" fontId="0" fillId="0" borderId="0" xfId="0" applyNumberFormat="1"/>
    <xf numFmtId="165" fontId="0" fillId="0" borderId="0" xfId="0" applyNumberFormat="1"/>
    <xf numFmtId="0" fontId="2" fillId="2" borderId="0" xfId="3"/>
    <xf numFmtId="0" fontId="0" fillId="0" borderId="0" xfId="0" applyAlignment="1">
      <alignment wrapText="1"/>
    </xf>
    <xf numFmtId="0" fontId="13" fillId="0" borderId="0" xfId="0" applyFont="1" applyAlignment="1">
      <alignment horizontal="right"/>
    </xf>
    <xf numFmtId="0" fontId="0" fillId="0" borderId="1" xfId="0" applyBorder="1" applyAlignment="1">
      <alignment horizontal="center" vertical="center" wrapText="1"/>
    </xf>
    <xf numFmtId="44" fontId="0" fillId="0" borderId="0" xfId="1" applyFont="1"/>
    <xf numFmtId="0" fontId="4" fillId="0" borderId="0" xfId="0" applyFont="1" applyAlignment="1">
      <alignment horizontal="center" vertical="center" wrapText="1"/>
    </xf>
    <xf numFmtId="44" fontId="0" fillId="0" borderId="0" xfId="1" applyFont="1" applyBorder="1"/>
    <xf numFmtId="44" fontId="0" fillId="0" borderId="0" xfId="0" applyNumberFormat="1"/>
    <xf numFmtId="0" fontId="0" fillId="3" borderId="0" xfId="0" applyFill="1"/>
    <xf numFmtId="3" fontId="0" fillId="3" borderId="0" xfId="0" applyNumberFormat="1" applyFill="1"/>
    <xf numFmtId="165" fontId="0" fillId="3" borderId="0" xfId="2" applyNumberFormat="1" applyFont="1" applyFill="1" applyBorder="1"/>
    <xf numFmtId="165" fontId="4" fillId="3" borderId="0" xfId="2" applyNumberFormat="1" applyFont="1" applyFill="1" applyBorder="1"/>
    <xf numFmtId="0" fontId="15" fillId="12" borderId="0" xfId="3" applyFont="1" applyFill="1"/>
    <xf numFmtId="0" fontId="15" fillId="12" borderId="0" xfId="0" applyFont="1" applyFill="1"/>
    <xf numFmtId="0" fontId="5" fillId="12" borderId="0" xfId="3" applyFont="1" applyFill="1"/>
    <xf numFmtId="0" fontId="3" fillId="12" borderId="3" xfId="0" applyFont="1" applyFill="1" applyBorder="1" applyAlignment="1">
      <alignment vertical="center"/>
    </xf>
    <xf numFmtId="0" fontId="14" fillId="12" borderId="2" xfId="0" applyFont="1" applyFill="1" applyBorder="1"/>
    <xf numFmtId="3" fontId="14" fillId="12" borderId="5" xfId="0" applyNumberFormat="1" applyFont="1" applyFill="1" applyBorder="1"/>
    <xf numFmtId="0" fontId="0" fillId="7" borderId="0" xfId="0" applyFill="1" applyAlignment="1">
      <alignment horizontal="right"/>
    </xf>
    <xf numFmtId="0" fontId="0" fillId="7" borderId="0" xfId="0" applyFill="1" applyAlignment="1">
      <alignment horizontal="left"/>
    </xf>
    <xf numFmtId="0" fontId="0" fillId="7" borderId="2" xfId="0" applyFill="1" applyBorder="1"/>
    <xf numFmtId="3" fontId="0" fillId="7" borderId="0" xfId="0" applyNumberFormat="1" applyFill="1"/>
    <xf numFmtId="3" fontId="0" fillId="7" borderId="4" xfId="0" applyNumberFormat="1" applyFill="1" applyBorder="1"/>
    <xf numFmtId="0" fontId="5" fillId="12" borderId="0" xfId="0" applyFont="1" applyFill="1"/>
    <xf numFmtId="0" fontId="5" fillId="12" borderId="0" xfId="0" applyFont="1" applyFill="1" applyAlignment="1">
      <alignment horizontal="center" vertical="center"/>
    </xf>
    <xf numFmtId="0" fontId="5" fillId="12" borderId="0" xfId="0" applyFont="1" applyFill="1" applyAlignment="1">
      <alignment horizontal="center" vertical="center" wrapText="1"/>
    </xf>
    <xf numFmtId="0" fontId="0" fillId="12" borderId="0" xfId="0" applyFill="1"/>
    <xf numFmtId="3" fontId="5" fillId="12" borderId="0" xfId="0" applyNumberFormat="1" applyFont="1" applyFill="1"/>
    <xf numFmtId="0" fontId="0" fillId="3" borderId="0" xfId="0" applyFill="1" applyAlignment="1">
      <alignment horizontal="center"/>
    </xf>
    <xf numFmtId="0" fontId="0" fillId="3" borderId="0" xfId="0" applyFill="1" applyAlignment="1">
      <alignment horizontal="right" indent="4"/>
    </xf>
    <xf numFmtId="10" fontId="0" fillId="3" borderId="0" xfId="0" applyNumberFormat="1" applyFill="1" applyAlignment="1">
      <alignment horizontal="center"/>
    </xf>
    <xf numFmtId="9" fontId="0" fillId="3" borderId="0" xfId="2" applyFont="1" applyFill="1" applyBorder="1" applyAlignment="1">
      <alignment horizontal="center"/>
    </xf>
    <xf numFmtId="0" fontId="0" fillId="13" borderId="0" xfId="0" applyFill="1"/>
    <xf numFmtId="0" fontId="0" fillId="4" borderId="18" xfId="0" applyFill="1" applyBorder="1"/>
    <xf numFmtId="0" fontId="0" fillId="4" borderId="19" xfId="0" applyFill="1" applyBorder="1"/>
    <xf numFmtId="0" fontId="0" fillId="4" borderId="20" xfId="0" applyFill="1" applyBorder="1"/>
    <xf numFmtId="0" fontId="0" fillId="4" borderId="21" xfId="0" applyFill="1" applyBorder="1"/>
    <xf numFmtId="3" fontId="0" fillId="4" borderId="22" xfId="0" applyNumberFormat="1" applyFill="1" applyBorder="1"/>
    <xf numFmtId="10" fontId="0" fillId="4" borderId="22" xfId="0" applyNumberFormat="1" applyFill="1" applyBorder="1"/>
    <xf numFmtId="9" fontId="0" fillId="4" borderId="22" xfId="0" applyNumberFormat="1" applyFill="1" applyBorder="1"/>
    <xf numFmtId="0" fontId="0" fillId="4" borderId="22" xfId="0" applyFill="1" applyBorder="1"/>
    <xf numFmtId="0" fontId="0" fillId="4" borderId="23" xfId="0" applyFill="1" applyBorder="1"/>
    <xf numFmtId="0" fontId="0" fillId="4" borderId="2" xfId="0" applyFill="1" applyBorder="1"/>
    <xf numFmtId="3" fontId="0" fillId="4" borderId="24" xfId="0" applyNumberFormat="1" applyFill="1" applyBorder="1"/>
    <xf numFmtId="0" fontId="0" fillId="4" borderId="25" xfId="0" applyFill="1" applyBorder="1" applyAlignment="1">
      <alignment horizontal="center" vertical="center"/>
    </xf>
    <xf numFmtId="0" fontId="0" fillId="4" borderId="26" xfId="0" applyFill="1" applyBorder="1"/>
    <xf numFmtId="0" fontId="0" fillId="4" borderId="27" xfId="0" applyFill="1" applyBorder="1"/>
    <xf numFmtId="164" fontId="0" fillId="13" borderId="0" xfId="0" applyNumberFormat="1" applyFill="1"/>
    <xf numFmtId="168" fontId="0" fillId="0" borderId="0" xfId="0" applyNumberFormat="1"/>
    <xf numFmtId="0" fontId="0" fillId="0" borderId="30" xfId="0" applyBorder="1"/>
    <xf numFmtId="0" fontId="4" fillId="13" borderId="28" xfId="0" applyFont="1" applyFill="1" applyBorder="1" applyAlignment="1">
      <alignment horizontal="center"/>
    </xf>
    <xf numFmtId="0" fontId="0" fillId="13" borderId="29" xfId="0" applyFill="1" applyBorder="1"/>
    <xf numFmtId="1" fontId="0" fillId="7" borderId="0" xfId="0" applyNumberFormat="1" applyFill="1"/>
    <xf numFmtId="164" fontId="0" fillId="7" borderId="0" xfId="0" applyNumberFormat="1" applyFill="1"/>
    <xf numFmtId="3" fontId="0" fillId="4" borderId="17" xfId="0" applyNumberFormat="1" applyFill="1" applyBorder="1"/>
    <xf numFmtId="0" fontId="0" fillId="10" borderId="31" xfId="0"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4" fillId="0" borderId="21" xfId="0" applyFont="1" applyBorder="1"/>
    <xf numFmtId="4" fontId="4" fillId="0" borderId="0" xfId="0" applyNumberFormat="1" applyFont="1"/>
    <xf numFmtId="0" fontId="0" fillId="10" borderId="32" xfId="0" applyFill="1" applyBorder="1"/>
    <xf numFmtId="0" fontId="4" fillId="0" borderId="23" xfId="0" applyFont="1" applyBorder="1"/>
    <xf numFmtId="4" fontId="4" fillId="13" borderId="2" xfId="0" applyNumberFormat="1" applyFont="1" applyFill="1" applyBorder="1"/>
    <xf numFmtId="0" fontId="0" fillId="0" borderId="24" xfId="0" applyBorder="1"/>
    <xf numFmtId="0" fontId="0" fillId="0" borderId="33" xfId="0" applyBorder="1"/>
    <xf numFmtId="0" fontId="4" fillId="0" borderId="33" xfId="0" applyFont="1" applyBorder="1"/>
    <xf numFmtId="165" fontId="0" fillId="0" borderId="33" xfId="2" applyNumberFormat="1" applyFont="1" applyBorder="1"/>
    <xf numFmtId="4" fontId="0" fillId="0" borderId="33" xfId="0" applyNumberFormat="1" applyBorder="1"/>
    <xf numFmtId="0" fontId="5" fillId="0" borderId="0" xfId="0" applyFont="1" applyAlignment="1">
      <alignment horizontal="center"/>
    </xf>
    <xf numFmtId="3" fontId="5" fillId="0" borderId="0" xfId="0" applyNumberFormat="1" applyFont="1"/>
    <xf numFmtId="10" fontId="5" fillId="0" borderId="0" xfId="0" applyNumberFormat="1" applyFont="1"/>
    <xf numFmtId="3" fontId="0" fillId="0" borderId="33" xfId="0" applyNumberFormat="1" applyBorder="1"/>
    <xf numFmtId="0" fontId="17" fillId="0" borderId="0" xfId="0" applyFont="1"/>
    <xf numFmtId="0" fontId="17" fillId="0" borderId="33" xfId="0" applyFont="1" applyBorder="1"/>
    <xf numFmtId="166" fontId="0" fillId="0" borderId="33" xfId="0" applyNumberFormat="1" applyBorder="1"/>
    <xf numFmtId="0" fontId="0" fillId="0" borderId="33" xfId="0" applyBorder="1" applyAlignment="1">
      <alignment wrapText="1"/>
    </xf>
    <xf numFmtId="168" fontId="0" fillId="0" borderId="33" xfId="0" applyNumberFormat="1" applyBorder="1"/>
    <xf numFmtId="44" fontId="0" fillId="0" borderId="33" xfId="0" applyNumberFormat="1" applyBorder="1"/>
    <xf numFmtId="0" fontId="4" fillId="0" borderId="0" xfId="0" applyFont="1" applyAlignment="1">
      <alignment horizontal="left" indent="1"/>
    </xf>
    <xf numFmtId="168" fontId="4" fillId="0" borderId="0" xfId="0" applyNumberFormat="1" applyFont="1"/>
    <xf numFmtId="44" fontId="0" fillId="0" borderId="3" xfId="0" applyNumberFormat="1" applyBorder="1"/>
    <xf numFmtId="1" fontId="0" fillId="0" borderId="33" xfId="0" applyNumberFormat="1" applyBorder="1"/>
    <xf numFmtId="1" fontId="0" fillId="0" borderId="0" xfId="0" applyNumberFormat="1"/>
    <xf numFmtId="0" fontId="0" fillId="10" borderId="1" xfId="0" applyFill="1" applyBorder="1" applyAlignment="1">
      <alignment wrapText="1"/>
    </xf>
    <xf numFmtId="44" fontId="0" fillId="0" borderId="0" xfId="0" applyNumberFormat="1" applyAlignment="1">
      <alignment wrapText="1"/>
    </xf>
    <xf numFmtId="0" fontId="0" fillId="0" borderId="0" xfId="0" applyAlignment="1">
      <alignment horizontal="left" wrapText="1"/>
    </xf>
    <xf numFmtId="0" fontId="10" fillId="8" borderId="0" xfId="0" applyFont="1" applyFill="1" applyAlignment="1">
      <alignment horizontal="left" vertical="center"/>
    </xf>
    <xf numFmtId="0" fontId="13" fillId="9" borderId="9" xfId="0" applyFont="1" applyFill="1" applyBorder="1" applyAlignment="1">
      <alignment horizontal="left" vertical="center" wrapText="1"/>
    </xf>
    <xf numFmtId="0" fontId="13" fillId="9" borderId="11" xfId="0" applyFont="1" applyFill="1" applyBorder="1" applyAlignment="1">
      <alignment horizontal="left" vertical="center" wrapText="1"/>
    </xf>
    <xf numFmtId="0" fontId="13" fillId="9" borderId="13" xfId="0" applyFont="1" applyFill="1" applyBorder="1" applyAlignment="1">
      <alignment horizontal="left" vertical="center" wrapText="1"/>
    </xf>
    <xf numFmtId="0" fontId="13" fillId="11" borderId="14" xfId="0" applyFont="1" applyFill="1" applyBorder="1" applyAlignment="1">
      <alignment horizontal="left" vertical="center" wrapText="1"/>
    </xf>
    <xf numFmtId="0" fontId="13" fillId="11" borderId="15" xfId="0" applyFont="1" applyFill="1" applyBorder="1" applyAlignment="1">
      <alignment horizontal="left" vertical="center" wrapText="1"/>
    </xf>
    <xf numFmtId="0" fontId="13" fillId="11" borderId="16" xfId="0" applyFont="1" applyFill="1" applyBorder="1" applyAlignment="1">
      <alignment horizontal="left" vertical="center" wrapText="1"/>
    </xf>
  </cellXfs>
  <cellStyles count="5">
    <cellStyle name="Correto" xfId="3" builtinId="26"/>
    <cellStyle name="Hiperligação" xfId="4" builtinId="8"/>
    <cellStyle name="Moeda" xfId="1" builtinId="4"/>
    <cellStyle name="Normal" xfId="0" builtinId="0"/>
    <cellStyle name="Percentagem"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PT"/>
              <a:t>Evolução do portefólio com levantamentos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Targets!$B$88</c:f>
              <c:strCache>
                <c:ptCount val="1"/>
                <c:pt idx="0">
                  <c:v>Year</c:v>
                </c:pt>
              </c:strCache>
            </c:strRef>
          </c:tx>
          <c:spPr>
            <a:solidFill>
              <a:schemeClr val="accent1"/>
            </a:solidFill>
            <a:ln>
              <a:noFill/>
            </a:ln>
            <a:effectLst/>
          </c:spPr>
          <c:invertIfNegative val="0"/>
          <c:val>
            <c:numRef>
              <c:f>Targets!$B$89:$B$130</c:f>
              <c:numCache>
                <c:formatCode>General</c:formatCode>
                <c:ptCount val="42"/>
                <c:pt idx="0">
                  <c:v>2044</c:v>
                </c:pt>
                <c:pt idx="1">
                  <c:v>2045</c:v>
                </c:pt>
                <c:pt idx="2">
                  <c:v>2046</c:v>
                </c:pt>
                <c:pt idx="3">
                  <c:v>2047</c:v>
                </c:pt>
                <c:pt idx="4">
                  <c:v>2048</c:v>
                </c:pt>
                <c:pt idx="5">
                  <c:v>2049</c:v>
                </c:pt>
                <c:pt idx="6">
                  <c:v>2050</c:v>
                </c:pt>
                <c:pt idx="7">
                  <c:v>2051</c:v>
                </c:pt>
                <c:pt idx="8">
                  <c:v>2052</c:v>
                </c:pt>
                <c:pt idx="9">
                  <c:v>2053</c:v>
                </c:pt>
                <c:pt idx="10">
                  <c:v>2054</c:v>
                </c:pt>
                <c:pt idx="11">
                  <c:v>2055</c:v>
                </c:pt>
                <c:pt idx="12">
                  <c:v>2056</c:v>
                </c:pt>
                <c:pt idx="13">
                  <c:v>2057</c:v>
                </c:pt>
                <c:pt idx="14">
                  <c:v>2058</c:v>
                </c:pt>
                <c:pt idx="15">
                  <c:v>2059</c:v>
                </c:pt>
                <c:pt idx="16">
                  <c:v>2060</c:v>
                </c:pt>
                <c:pt idx="17">
                  <c:v>2061</c:v>
                </c:pt>
                <c:pt idx="18">
                  <c:v>2062</c:v>
                </c:pt>
                <c:pt idx="19">
                  <c:v>2063</c:v>
                </c:pt>
                <c:pt idx="20">
                  <c:v>2064</c:v>
                </c:pt>
                <c:pt idx="21">
                  <c:v>2065</c:v>
                </c:pt>
                <c:pt idx="22">
                  <c:v>2066</c:v>
                </c:pt>
                <c:pt idx="23">
                  <c:v>2067</c:v>
                </c:pt>
                <c:pt idx="24">
                  <c:v>2068</c:v>
                </c:pt>
                <c:pt idx="25">
                  <c:v>2069</c:v>
                </c:pt>
                <c:pt idx="26">
                  <c:v>2070</c:v>
                </c:pt>
                <c:pt idx="27">
                  <c:v>2071</c:v>
                </c:pt>
                <c:pt idx="28">
                  <c:v>2072</c:v>
                </c:pt>
                <c:pt idx="29">
                  <c:v>2073</c:v>
                </c:pt>
                <c:pt idx="30">
                  <c:v>2074</c:v>
                </c:pt>
                <c:pt idx="31">
                  <c:v>2075</c:v>
                </c:pt>
                <c:pt idx="32">
                  <c:v>2076</c:v>
                </c:pt>
                <c:pt idx="33">
                  <c:v>2077</c:v>
                </c:pt>
                <c:pt idx="34">
                  <c:v>2078</c:v>
                </c:pt>
                <c:pt idx="35">
                  <c:v>2079</c:v>
                </c:pt>
                <c:pt idx="36">
                  <c:v>2080</c:v>
                </c:pt>
                <c:pt idx="37">
                  <c:v>2081</c:v>
                </c:pt>
                <c:pt idx="38">
                  <c:v>2082</c:v>
                </c:pt>
                <c:pt idx="39">
                  <c:v>2083</c:v>
                </c:pt>
                <c:pt idx="40">
                  <c:v>2084</c:v>
                </c:pt>
                <c:pt idx="41">
                  <c:v>2085</c:v>
                </c:pt>
              </c:numCache>
            </c:numRef>
          </c:val>
          <c:extLst>
            <c:ext xmlns:c16="http://schemas.microsoft.com/office/drawing/2014/chart" uri="{C3380CC4-5D6E-409C-BE32-E72D297353CC}">
              <c16:uniqueId val="{00000000-309A-4CD9-82F7-6438B61C4017}"/>
            </c:ext>
          </c:extLst>
        </c:ser>
        <c:ser>
          <c:idx val="1"/>
          <c:order val="1"/>
          <c:tx>
            <c:strRef>
              <c:f>Targets!$C$88</c:f>
              <c:strCache>
                <c:ptCount val="1"/>
                <c:pt idx="0">
                  <c:v>Initial Portfolio</c:v>
                </c:pt>
              </c:strCache>
            </c:strRef>
          </c:tx>
          <c:spPr>
            <a:solidFill>
              <a:schemeClr val="accent2"/>
            </a:solidFill>
            <a:ln>
              <a:noFill/>
            </a:ln>
            <a:effectLst/>
          </c:spPr>
          <c:invertIfNegative val="0"/>
          <c:val>
            <c:numRef>
              <c:f>Targets!$C$89:$C$130</c:f>
              <c:numCache>
                <c:formatCode>#\ ##0.00\ [$€-1];\-#\ ##0.00\ [$€-1]</c:formatCode>
                <c:ptCount val="42"/>
                <c:pt idx="0">
                  <c:v>2656381.4358438998</c:v>
                </c:pt>
                <c:pt idx="1">
                  <c:v>2703133.7491147527</c:v>
                </c:pt>
                <c:pt idx="2">
                  <c:v>2749312.283995463</c:v>
                </c:pt>
                <c:pt idx="3">
                  <c:v>2794781.2462670309</c:v>
                </c:pt>
                <c:pt idx="4">
                  <c:v>2839393.6530318479</c:v>
                </c:pt>
                <c:pt idx="5">
                  <c:v>2882990.5701622176</c:v>
                </c:pt>
                <c:pt idx="6">
                  <c:v>2925400.3012588634</c:v>
                </c:pt>
                <c:pt idx="7">
                  <c:v>2966437.5251279152</c:v>
                </c:pt>
                <c:pt idx="8">
                  <c:v>3005902.3786029154</c:v>
                </c:pt>
                <c:pt idx="9">
                  <c:v>3043579.4813454356</c:v>
                </c:pt>
                <c:pt idx="10">
                  <c:v>3079236.8990532975</c:v>
                </c:pt>
                <c:pt idx="11">
                  <c:v>3112625.0412884452</c:v>
                </c:pt>
                <c:pt idx="12">
                  <c:v>3143475.4899064605</c:v>
                </c:pt>
                <c:pt idx="13">
                  <c:v>3171499.7538257781</c:v>
                </c:pt>
                <c:pt idx="14">
                  <c:v>3196387.9456160022</c:v>
                </c:pt>
                <c:pt idx="15">
                  <c:v>3217807.3751104604</c:v>
                </c:pt>
                <c:pt idx="16">
                  <c:v>3235401.0549573107</c:v>
                </c:pt>
                <c:pt idx="17">
                  <c:v>3248786.1127151786</c:v>
                </c:pt>
                <c:pt idx="18">
                  <c:v>3257552.103772332</c:v>
                </c:pt>
                <c:pt idx="19">
                  <c:v>3261259.2190217413</c:v>
                </c:pt>
                <c:pt idx="20">
                  <c:v>3259436.3808568073</c:v>
                </c:pt>
                <c:pt idx="21">
                  <c:v>3251579.2206627904</c:v>
                </c:pt>
                <c:pt idx="22">
                  <c:v>3237147.9305657698</c:v>
                </c:pt>
                <c:pt idx="23">
                  <c:v>3215564.9817628241</c:v>
                </c:pt>
                <c:pt idx="24">
                  <c:v>3186212.7012925949</c:v>
                </c:pt>
                <c:pt idx="25">
                  <c:v>3148430.698612872</c:v>
                </c:pt>
                <c:pt idx="26">
                  <c:v>3101513.1328296475</c:v>
                </c:pt>
                <c:pt idx="27">
                  <c:v>3044705.8108684295</c:v>
                </c:pt>
                <c:pt idx="28">
                  <c:v>2977203.1062916084</c:v>
                </c:pt>
                <c:pt idx="29">
                  <c:v>2898144.6878433106</c:v>
                </c:pt>
                <c:pt idx="30">
                  <c:v>2806612.0461433413</c:v>
                </c:pt>
                <c:pt idx="31">
                  <c:v>2701624.8062522565</c:v>
                </c:pt>
                <c:pt idx="32">
                  <c:v>2582136.813087916</c:v>
                </c:pt>
                <c:pt idx="33">
                  <c:v>2447031.9758875309</c:v>
                </c:pt>
                <c:pt idx="34">
                  <c:v>2295119.8570755525</c:v>
                </c:pt>
                <c:pt idx="35">
                  <c:v>2125130.9900138988</c:v>
                </c:pt>
                <c:pt idx="36">
                  <c:v>1935711.9091739603</c:v>
                </c:pt>
                <c:pt idx="37">
                  <c:v>1725419.8752764023</c:v>
                </c:pt>
                <c:pt idx="38">
                  <c:v>1492717.276891551</c:v>
                </c:pt>
                <c:pt idx="39">
                  <c:v>1235965.6888765653</c:v>
                </c:pt>
                <c:pt idx="40">
                  <c:v>953419.56684182619</c:v>
                </c:pt>
                <c:pt idx="41">
                  <c:v>643219.55558398273</c:v>
                </c:pt>
              </c:numCache>
            </c:numRef>
          </c:val>
          <c:extLst>
            <c:ext xmlns:c16="http://schemas.microsoft.com/office/drawing/2014/chart" uri="{C3380CC4-5D6E-409C-BE32-E72D297353CC}">
              <c16:uniqueId val="{00000001-309A-4CD9-82F7-6438B61C4017}"/>
            </c:ext>
          </c:extLst>
        </c:ser>
        <c:dLbls>
          <c:showLegendKey val="0"/>
          <c:showVal val="0"/>
          <c:showCatName val="0"/>
          <c:showSerName val="0"/>
          <c:showPercent val="0"/>
          <c:showBubbleSize val="0"/>
        </c:dLbls>
        <c:gapWidth val="219"/>
        <c:overlap val="-27"/>
        <c:axId val="372063088"/>
        <c:axId val="372058096"/>
      </c:barChart>
      <c:barChart>
        <c:barDir val="col"/>
        <c:grouping val="clustered"/>
        <c:varyColors val="0"/>
        <c:ser>
          <c:idx val="2"/>
          <c:order val="2"/>
          <c:tx>
            <c:strRef>
              <c:f>Targets!$D$88</c:f>
              <c:strCache>
                <c:ptCount val="1"/>
                <c:pt idx="0">
                  <c:v>Withrawal amount</c:v>
                </c:pt>
              </c:strCache>
            </c:strRef>
          </c:tx>
          <c:spPr>
            <a:solidFill>
              <a:schemeClr val="accent3"/>
            </a:solidFill>
            <a:ln>
              <a:noFill/>
            </a:ln>
            <a:effectLst/>
          </c:spPr>
          <c:invertIfNegative val="0"/>
          <c:val>
            <c:numRef>
              <c:f>Targets!$D$89:$D$130</c:f>
              <c:numCache>
                <c:formatCode>#\ ##0.00\ [$€-1];\-#\ ##0.00\ [$€-1]</c:formatCode>
                <c:ptCount val="42"/>
                <c:pt idx="0">
                  <c:v>106255.25743375599</c:v>
                </c:pt>
                <c:pt idx="1">
                  <c:v>109442.91515676868</c:v>
                </c:pt>
                <c:pt idx="2">
                  <c:v>112726.20261147174</c:v>
                </c:pt>
                <c:pt idx="3">
                  <c:v>116107.9886898159</c:v>
                </c:pt>
                <c:pt idx="4">
                  <c:v>119591.22835051038</c:v>
                </c:pt>
                <c:pt idx="5">
                  <c:v>123178.9652010257</c:v>
                </c:pt>
                <c:pt idx="6">
                  <c:v>126874.33415705647</c:v>
                </c:pt>
                <c:pt idx="7">
                  <c:v>130680.56418176816</c:v>
                </c:pt>
                <c:pt idx="8">
                  <c:v>134600.98110722122</c:v>
                </c:pt>
                <c:pt idx="9">
                  <c:v>138639.01054043786</c:v>
                </c:pt>
                <c:pt idx="10">
                  <c:v>142798.18085665099</c:v>
                </c:pt>
                <c:pt idx="11">
                  <c:v>147082.12628235051</c:v>
                </c:pt>
                <c:pt idx="12">
                  <c:v>151494.59007082102</c:v>
                </c:pt>
                <c:pt idx="13">
                  <c:v>156039.42777294567</c:v>
                </c:pt>
                <c:pt idx="14">
                  <c:v>160720.61060613405</c:v>
                </c:pt>
                <c:pt idx="15">
                  <c:v>165542.22892431807</c:v>
                </c:pt>
                <c:pt idx="16">
                  <c:v>170508.49579204762</c:v>
                </c:pt>
                <c:pt idx="17">
                  <c:v>175623.75066580906</c:v>
                </c:pt>
                <c:pt idx="18">
                  <c:v>180892.46318578333</c:v>
                </c:pt>
                <c:pt idx="19">
                  <c:v>186319.23708135684</c:v>
                </c:pt>
                <c:pt idx="20">
                  <c:v>191908.81419379756</c:v>
                </c:pt>
                <c:pt idx="21">
                  <c:v>197666.07861961148</c:v>
                </c:pt>
                <c:pt idx="22">
                  <c:v>203596.06097819982</c:v>
                </c:pt>
                <c:pt idx="23">
                  <c:v>209703.94280754583</c:v>
                </c:pt>
                <c:pt idx="24">
                  <c:v>215995.06109177219</c:v>
                </c:pt>
                <c:pt idx="25">
                  <c:v>222474.91292452536</c:v>
                </c:pt>
                <c:pt idx="26">
                  <c:v>229149.16031226111</c:v>
                </c:pt>
                <c:pt idx="27">
                  <c:v>236023.63512162896</c:v>
                </c:pt>
                <c:pt idx="28">
                  <c:v>243104.34417527783</c:v>
                </c:pt>
                <c:pt idx="29">
                  <c:v>250397.47450053616</c:v>
                </c:pt>
                <c:pt idx="30">
                  <c:v>257909.39873555224</c:v>
                </c:pt>
                <c:pt idx="31">
                  <c:v>265646.68069761881</c:v>
                </c:pt>
                <c:pt idx="32">
                  <c:v>273616.08111854736</c:v>
                </c:pt>
                <c:pt idx="33">
                  <c:v>281824.56355210376</c:v>
                </c:pt>
                <c:pt idx="34">
                  <c:v>290279.30045866687</c:v>
                </c:pt>
                <c:pt idx="35">
                  <c:v>298987.67947242688</c:v>
                </c:pt>
                <c:pt idx="36">
                  <c:v>307957.30985659972</c:v>
                </c:pt>
                <c:pt idx="37">
                  <c:v>317196.02915229771</c:v>
                </c:pt>
                <c:pt idx="38">
                  <c:v>326711.91002686665</c:v>
                </c:pt>
                <c:pt idx="39">
                  <c:v>336513.26732767269</c:v>
                </c:pt>
                <c:pt idx="40">
                  <c:v>346608.66534750286</c:v>
                </c:pt>
                <c:pt idx="41">
                  <c:v>357006.92530792794</c:v>
                </c:pt>
              </c:numCache>
            </c:numRef>
          </c:val>
          <c:extLst>
            <c:ext xmlns:c16="http://schemas.microsoft.com/office/drawing/2014/chart" uri="{C3380CC4-5D6E-409C-BE32-E72D297353CC}">
              <c16:uniqueId val="{00000002-309A-4CD9-82F7-6438B61C4017}"/>
            </c:ext>
          </c:extLst>
        </c:ser>
        <c:dLbls>
          <c:showLegendKey val="0"/>
          <c:showVal val="0"/>
          <c:showCatName val="0"/>
          <c:showSerName val="0"/>
          <c:showPercent val="0"/>
          <c:showBubbleSize val="0"/>
        </c:dLbls>
        <c:gapWidth val="219"/>
        <c:overlap val="-27"/>
        <c:axId val="372067248"/>
        <c:axId val="372061424"/>
      </c:barChart>
      <c:lineChart>
        <c:grouping val="standard"/>
        <c:varyColors val="0"/>
        <c:ser>
          <c:idx val="5"/>
          <c:order val="5"/>
          <c:tx>
            <c:strRef>
              <c:f>Targets!$G$87</c:f>
              <c:strCache>
                <c:ptCount val="1"/>
                <c:pt idx="0">
                  <c:v>End Portfolio</c:v>
                </c:pt>
              </c:strCache>
            </c:strRef>
          </c:tx>
          <c:spPr>
            <a:ln w="28575" cap="rnd">
              <a:solidFill>
                <a:schemeClr val="accent6"/>
              </a:solidFill>
              <a:round/>
            </a:ln>
            <a:effectLst/>
          </c:spPr>
          <c:marker>
            <c:symbol val="none"/>
          </c:marker>
          <c:val>
            <c:numRef>
              <c:f>Targets!$G$88:$G$129</c:f>
              <c:numCache>
                <c:formatCode>#\ ##0.00\ [$€-1];\-#\ ##0.00\ [$€-1]</c:formatCode>
                <c:ptCount val="42"/>
                <c:pt idx="0">
                  <c:v>2703133.7491147527</c:v>
                </c:pt>
                <c:pt idx="1">
                  <c:v>2749312.283995463</c:v>
                </c:pt>
                <c:pt idx="2">
                  <c:v>2794781.2462670309</c:v>
                </c:pt>
                <c:pt idx="3">
                  <c:v>2839393.6530318479</c:v>
                </c:pt>
                <c:pt idx="4">
                  <c:v>2882990.5701622176</c:v>
                </c:pt>
                <c:pt idx="5">
                  <c:v>2925400.3012588634</c:v>
                </c:pt>
                <c:pt idx="6">
                  <c:v>2966437.5251279152</c:v>
                </c:pt>
                <c:pt idx="7">
                  <c:v>3005902.3786029154</c:v>
                </c:pt>
                <c:pt idx="8">
                  <c:v>3043579.4813454356</c:v>
                </c:pt>
                <c:pt idx="9">
                  <c:v>3079236.8990532975</c:v>
                </c:pt>
                <c:pt idx="10">
                  <c:v>3112625.0412884452</c:v>
                </c:pt>
                <c:pt idx="11">
                  <c:v>3143475.4899064605</c:v>
                </c:pt>
                <c:pt idx="12">
                  <c:v>3171499.7538257781</c:v>
                </c:pt>
                <c:pt idx="13">
                  <c:v>3196387.9456160022</c:v>
                </c:pt>
                <c:pt idx="14">
                  <c:v>3217807.3751104604</c:v>
                </c:pt>
                <c:pt idx="15">
                  <c:v>3235401.0549573107</c:v>
                </c:pt>
                <c:pt idx="16">
                  <c:v>3248786.1127151786</c:v>
                </c:pt>
                <c:pt idx="17">
                  <c:v>3257552.103772332</c:v>
                </c:pt>
                <c:pt idx="18">
                  <c:v>3261259.2190217413</c:v>
                </c:pt>
                <c:pt idx="19">
                  <c:v>3259436.3808568073</c:v>
                </c:pt>
                <c:pt idx="20">
                  <c:v>3251579.2206627904</c:v>
                </c:pt>
                <c:pt idx="21">
                  <c:v>3237147.9305657698</c:v>
                </c:pt>
                <c:pt idx="22">
                  <c:v>3215564.9817628241</c:v>
                </c:pt>
                <c:pt idx="23">
                  <c:v>3186212.7012925949</c:v>
                </c:pt>
                <c:pt idx="24">
                  <c:v>3148430.698612872</c:v>
                </c:pt>
                <c:pt idx="25">
                  <c:v>3101513.1328296475</c:v>
                </c:pt>
                <c:pt idx="26">
                  <c:v>3044705.8108684295</c:v>
                </c:pt>
                <c:pt idx="27">
                  <c:v>2977203.1062916084</c:v>
                </c:pt>
                <c:pt idx="28">
                  <c:v>2898144.6878433106</c:v>
                </c:pt>
                <c:pt idx="29">
                  <c:v>2806612.0461433413</c:v>
                </c:pt>
                <c:pt idx="30">
                  <c:v>2701624.8062522565</c:v>
                </c:pt>
                <c:pt idx="31">
                  <c:v>2582136.813087916</c:v>
                </c:pt>
                <c:pt idx="32">
                  <c:v>2447031.9758875309</c:v>
                </c:pt>
                <c:pt idx="33">
                  <c:v>2295119.8570755525</c:v>
                </c:pt>
                <c:pt idx="34">
                  <c:v>2125130.9900138988</c:v>
                </c:pt>
                <c:pt idx="35">
                  <c:v>1935711.9091739603</c:v>
                </c:pt>
                <c:pt idx="36">
                  <c:v>1725419.8752764023</c:v>
                </c:pt>
                <c:pt idx="37">
                  <c:v>1492717.276891551</c:v>
                </c:pt>
                <c:pt idx="38">
                  <c:v>1235965.6888765653</c:v>
                </c:pt>
                <c:pt idx="39">
                  <c:v>953419.56684182619</c:v>
                </c:pt>
                <c:pt idx="40">
                  <c:v>643219.55558398273</c:v>
                </c:pt>
                <c:pt idx="41">
                  <c:v>303385.38809261803</c:v>
                </c:pt>
              </c:numCache>
            </c:numRef>
          </c:val>
          <c:smooth val="0"/>
          <c:extLst>
            <c:ext xmlns:c16="http://schemas.microsoft.com/office/drawing/2014/chart" uri="{C3380CC4-5D6E-409C-BE32-E72D297353CC}">
              <c16:uniqueId val="{00000005-309A-4CD9-82F7-6438B61C4017}"/>
            </c:ext>
          </c:extLst>
        </c:ser>
        <c:dLbls>
          <c:showLegendKey val="0"/>
          <c:showVal val="0"/>
          <c:showCatName val="0"/>
          <c:showSerName val="0"/>
          <c:showPercent val="0"/>
          <c:showBubbleSize val="0"/>
        </c:dLbls>
        <c:marker val="1"/>
        <c:smooth val="0"/>
        <c:axId val="372063088"/>
        <c:axId val="372058096"/>
      </c:lineChart>
      <c:lineChart>
        <c:grouping val="standard"/>
        <c:varyColors val="0"/>
        <c:ser>
          <c:idx val="3"/>
          <c:order val="3"/>
          <c:tx>
            <c:strRef>
              <c:f>Targets!$E$87</c:f>
              <c:strCache>
                <c:ptCount val="1"/>
                <c:pt idx="0">
                  <c:v>Withrawal amount adjusted for inflation</c:v>
                </c:pt>
              </c:strCache>
            </c:strRef>
          </c:tx>
          <c:spPr>
            <a:ln w="28575" cap="rnd">
              <a:solidFill>
                <a:schemeClr val="accent4"/>
              </a:solidFill>
              <a:round/>
            </a:ln>
            <a:effectLst/>
          </c:spPr>
          <c:marker>
            <c:symbol val="none"/>
          </c:marker>
          <c:val>
            <c:numRef>
              <c:f>Targets!$E$88:$E$129</c:f>
              <c:numCache>
                <c:formatCode>#\ ##0.00\ [$€-1];\-#\ ##0.00\ [$€-1]</c:formatCode>
                <c:ptCount val="42"/>
                <c:pt idx="0">
                  <c:v>58830.959795898023</c:v>
                </c:pt>
                <c:pt idx="1">
                  <c:v>58830.959795898038</c:v>
                </c:pt>
                <c:pt idx="2">
                  <c:v>58830.95979589803</c:v>
                </c:pt>
                <c:pt idx="3">
                  <c:v>58830.95979589803</c:v>
                </c:pt>
                <c:pt idx="4">
                  <c:v>58830.959795898045</c:v>
                </c:pt>
                <c:pt idx="5">
                  <c:v>58830.959795898045</c:v>
                </c:pt>
                <c:pt idx="6">
                  <c:v>58830.959795898038</c:v>
                </c:pt>
                <c:pt idx="7">
                  <c:v>58830.959795898045</c:v>
                </c:pt>
                <c:pt idx="8">
                  <c:v>58830.959795898045</c:v>
                </c:pt>
                <c:pt idx="9">
                  <c:v>58830.959795898052</c:v>
                </c:pt>
                <c:pt idx="10">
                  <c:v>58830.959795898052</c:v>
                </c:pt>
                <c:pt idx="11">
                  <c:v>58830.959795898038</c:v>
                </c:pt>
                <c:pt idx="12">
                  <c:v>58830.959795898052</c:v>
                </c:pt>
                <c:pt idx="13">
                  <c:v>58830.959795898052</c:v>
                </c:pt>
                <c:pt idx="14">
                  <c:v>58830.959795898067</c:v>
                </c:pt>
                <c:pt idx="15">
                  <c:v>58830.959795898059</c:v>
                </c:pt>
                <c:pt idx="16">
                  <c:v>58830.959795898059</c:v>
                </c:pt>
                <c:pt idx="17">
                  <c:v>58830.959795898074</c:v>
                </c:pt>
                <c:pt idx="18">
                  <c:v>58830.959795898074</c:v>
                </c:pt>
                <c:pt idx="19">
                  <c:v>58830.959795898067</c:v>
                </c:pt>
                <c:pt idx="20">
                  <c:v>58830.959795898081</c:v>
                </c:pt>
                <c:pt idx="21">
                  <c:v>58830.959795898074</c:v>
                </c:pt>
                <c:pt idx="22">
                  <c:v>58830.959795898074</c:v>
                </c:pt>
                <c:pt idx="23">
                  <c:v>58830.959795898081</c:v>
                </c:pt>
                <c:pt idx="24">
                  <c:v>58830.959795898081</c:v>
                </c:pt>
                <c:pt idx="25">
                  <c:v>58830.959795898081</c:v>
                </c:pt>
                <c:pt idx="26">
                  <c:v>58830.959795898081</c:v>
                </c:pt>
                <c:pt idx="27">
                  <c:v>58830.959795898081</c:v>
                </c:pt>
                <c:pt idx="28">
                  <c:v>58830.959795898081</c:v>
                </c:pt>
                <c:pt idx="29">
                  <c:v>58830.959795898088</c:v>
                </c:pt>
                <c:pt idx="30">
                  <c:v>58830.959795898088</c:v>
                </c:pt>
                <c:pt idx="31">
                  <c:v>58830.959795898088</c:v>
                </c:pt>
                <c:pt idx="32">
                  <c:v>58830.959795898081</c:v>
                </c:pt>
                <c:pt idx="33">
                  <c:v>58830.959795898096</c:v>
                </c:pt>
                <c:pt idx="34">
                  <c:v>58830.959795898081</c:v>
                </c:pt>
                <c:pt idx="35">
                  <c:v>58830.959795898081</c:v>
                </c:pt>
                <c:pt idx="36">
                  <c:v>58830.959795898103</c:v>
                </c:pt>
                <c:pt idx="37">
                  <c:v>58830.959795898096</c:v>
                </c:pt>
                <c:pt idx="38">
                  <c:v>58830.959795898096</c:v>
                </c:pt>
                <c:pt idx="39">
                  <c:v>58830.959795898096</c:v>
                </c:pt>
                <c:pt idx="40">
                  <c:v>58830.959795898103</c:v>
                </c:pt>
                <c:pt idx="41">
                  <c:v>58830.95979589811</c:v>
                </c:pt>
              </c:numCache>
            </c:numRef>
          </c:val>
          <c:smooth val="0"/>
          <c:extLst>
            <c:ext xmlns:c16="http://schemas.microsoft.com/office/drawing/2014/chart" uri="{C3380CC4-5D6E-409C-BE32-E72D297353CC}">
              <c16:uniqueId val="{00000003-309A-4CD9-82F7-6438B61C4017}"/>
            </c:ext>
          </c:extLst>
        </c:ser>
        <c:ser>
          <c:idx val="4"/>
          <c:order val="4"/>
          <c:tx>
            <c:strRef>
              <c:f>Targets!$F$87</c:f>
              <c:strCache>
                <c:ptCount val="1"/>
                <c:pt idx="0">
                  <c:v>Gains</c:v>
                </c:pt>
              </c:strCache>
            </c:strRef>
          </c:tx>
          <c:spPr>
            <a:ln w="28575" cap="rnd">
              <a:solidFill>
                <a:schemeClr val="accent5"/>
              </a:solidFill>
              <a:round/>
            </a:ln>
            <a:effectLst/>
          </c:spPr>
          <c:marker>
            <c:symbol val="none"/>
          </c:marker>
          <c:val>
            <c:numRef>
              <c:f>Targets!$F$88:$F$129</c:f>
              <c:numCache>
                <c:formatCode>#\ ##0.00\ [$€-1];\-#\ ##0.00\ [$€-1]</c:formatCode>
                <c:ptCount val="42"/>
                <c:pt idx="0">
                  <c:v>153007.57070460863</c:v>
                </c:pt>
                <c:pt idx="1">
                  <c:v>155621.45003747905</c:v>
                </c:pt>
                <c:pt idx="2">
                  <c:v>158195.16488303948</c:v>
                </c:pt>
                <c:pt idx="3">
                  <c:v>160720.39545463288</c:v>
                </c:pt>
                <c:pt idx="4">
                  <c:v>163188.14548088025</c:v>
                </c:pt>
                <c:pt idx="5">
                  <c:v>165588.6962976715</c:v>
                </c:pt>
                <c:pt idx="6">
                  <c:v>167911.5580261084</c:v>
                </c:pt>
                <c:pt idx="7">
                  <c:v>170145.41765676881</c:v>
                </c:pt>
                <c:pt idx="8">
                  <c:v>172278.08384974167</c:v>
                </c:pt>
                <c:pt idx="9">
                  <c:v>174296.42824829987</c:v>
                </c:pt>
                <c:pt idx="10">
                  <c:v>176186.32309179878</c:v>
                </c:pt>
                <c:pt idx="11">
                  <c:v>177932.57490036567</c:v>
                </c:pt>
                <c:pt idx="12">
                  <c:v>179518.85399013836</c:v>
                </c:pt>
                <c:pt idx="13">
                  <c:v>180927.61956316995</c:v>
                </c:pt>
                <c:pt idx="14">
                  <c:v>182140.0401005921</c:v>
                </c:pt>
                <c:pt idx="15">
                  <c:v>183135.90877116853</c:v>
                </c:pt>
                <c:pt idx="16">
                  <c:v>183893.55354991578</c:v>
                </c:pt>
                <c:pt idx="17">
                  <c:v>184389.74172296218</c:v>
                </c:pt>
                <c:pt idx="18">
                  <c:v>184599.5784351929</c:v>
                </c:pt>
                <c:pt idx="19">
                  <c:v>184496.39891642306</c:v>
                </c:pt>
                <c:pt idx="20">
                  <c:v>184051.65399978057</c:v>
                </c:pt>
                <c:pt idx="21">
                  <c:v>183234.78852259074</c:v>
                </c:pt>
                <c:pt idx="22">
                  <c:v>182013.11217525418</c:v>
                </c:pt>
                <c:pt idx="23">
                  <c:v>180351.66233731669</c:v>
                </c:pt>
                <c:pt idx="24">
                  <c:v>178213.05841204934</c:v>
                </c:pt>
                <c:pt idx="25">
                  <c:v>175557.34714130079</c:v>
                </c:pt>
                <c:pt idx="26">
                  <c:v>172341.83835104317</c:v>
                </c:pt>
                <c:pt idx="27">
                  <c:v>168520.93054480801</c:v>
                </c:pt>
                <c:pt idx="28">
                  <c:v>164045.92572697983</c:v>
                </c:pt>
                <c:pt idx="29">
                  <c:v>158864.83280056648</c:v>
                </c:pt>
                <c:pt idx="30">
                  <c:v>152922.15884446734</c:v>
                </c:pt>
                <c:pt idx="31">
                  <c:v>146158.68753327825</c:v>
                </c:pt>
                <c:pt idx="32">
                  <c:v>138511.2439181621</c:v>
                </c:pt>
                <c:pt idx="33">
                  <c:v>129912.44474012562</c:v>
                </c:pt>
                <c:pt idx="34">
                  <c:v>120290.43339701313</c:v>
                </c:pt>
                <c:pt idx="35">
                  <c:v>109568.59863248831</c:v>
                </c:pt>
                <c:pt idx="36">
                  <c:v>97665.275959041639</c:v>
                </c:pt>
                <c:pt idx="37">
                  <c:v>84493.430767446276</c:v>
                </c:pt>
                <c:pt idx="38">
                  <c:v>69960.322011881057</c:v>
                </c:pt>
                <c:pt idx="39">
                  <c:v>53967.145292933557</c:v>
                </c:pt>
                <c:pt idx="40">
                  <c:v>36408.654089659394</c:v>
                </c:pt>
                <c:pt idx="41">
                  <c:v>17172.757816563288</c:v>
                </c:pt>
              </c:numCache>
            </c:numRef>
          </c:val>
          <c:smooth val="0"/>
          <c:extLst>
            <c:ext xmlns:c16="http://schemas.microsoft.com/office/drawing/2014/chart" uri="{C3380CC4-5D6E-409C-BE32-E72D297353CC}">
              <c16:uniqueId val="{00000004-309A-4CD9-82F7-6438B61C4017}"/>
            </c:ext>
          </c:extLst>
        </c:ser>
        <c:dLbls>
          <c:showLegendKey val="0"/>
          <c:showVal val="0"/>
          <c:showCatName val="0"/>
          <c:showSerName val="0"/>
          <c:showPercent val="0"/>
          <c:showBubbleSize val="0"/>
        </c:dLbls>
        <c:marker val="1"/>
        <c:smooth val="0"/>
        <c:axId val="372067248"/>
        <c:axId val="372061424"/>
      </c:lineChart>
      <c:catAx>
        <c:axId val="3720630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058096"/>
        <c:crosses val="autoZero"/>
        <c:auto val="1"/>
        <c:lblAlgn val="ctr"/>
        <c:lblOffset val="100"/>
        <c:noMultiLvlLbl val="0"/>
      </c:catAx>
      <c:valAx>
        <c:axId val="372058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063088"/>
        <c:crosses val="autoZero"/>
        <c:crossBetween val="between"/>
      </c:valAx>
      <c:valAx>
        <c:axId val="372061424"/>
        <c:scaling>
          <c:orientation val="minMax"/>
        </c:scaling>
        <c:delete val="0"/>
        <c:axPos val="r"/>
        <c:numFmt formatCode="#\ ##0.00\ [$€-1];\-#\ ##0.00\ [$€-1]"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067248"/>
        <c:crosses val="max"/>
        <c:crossBetween val="between"/>
      </c:valAx>
      <c:catAx>
        <c:axId val="372067248"/>
        <c:scaling>
          <c:orientation val="minMax"/>
        </c:scaling>
        <c:delete val="1"/>
        <c:axPos val="b"/>
        <c:majorTickMark val="out"/>
        <c:minorTickMark val="none"/>
        <c:tickLblPos val="nextTo"/>
        <c:crossAx val="3720614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AB12D609-386C-4D08-A926-F0DBE5E89D2D}" type="doc">
      <dgm:prSet loTypeId="urn:microsoft.com/office/officeart/2005/8/layout/pyramid2" loCatId="pyramid" qsTypeId="urn:microsoft.com/office/officeart/2005/8/quickstyle/simple1" qsCatId="simple" csTypeId="urn:microsoft.com/office/officeart/2005/8/colors/accent1_2" csCatId="accent1" phldr="1"/>
      <dgm:spPr/>
    </dgm:pt>
    <dgm:pt modelId="{B2689C72-CE09-4ACB-8C62-0B2676D72140}">
      <dgm:prSet phldrT="[Texto]"/>
      <dgm:spPr/>
      <dgm:t>
        <a:bodyPr/>
        <a:lstStyle/>
        <a:p>
          <a:r>
            <a:rPr lang="pt-PT"/>
            <a:t>Ambições</a:t>
          </a:r>
        </a:p>
      </dgm:t>
    </dgm:pt>
    <dgm:pt modelId="{3B09671F-C501-4A24-9C1E-A0CB7F6D6D7E}" type="parTrans" cxnId="{16D87A45-65CB-4BBE-B8C0-4DCCED765399}">
      <dgm:prSet/>
      <dgm:spPr/>
      <dgm:t>
        <a:bodyPr/>
        <a:lstStyle/>
        <a:p>
          <a:endParaRPr lang="pt-PT"/>
        </a:p>
      </dgm:t>
    </dgm:pt>
    <dgm:pt modelId="{D93AEEC8-52FE-4645-A1E6-B873C97EC956}" type="sibTrans" cxnId="{16D87A45-65CB-4BBE-B8C0-4DCCED765399}">
      <dgm:prSet/>
      <dgm:spPr/>
      <dgm:t>
        <a:bodyPr/>
        <a:lstStyle/>
        <a:p>
          <a:endParaRPr lang="pt-PT"/>
        </a:p>
      </dgm:t>
    </dgm:pt>
    <dgm:pt modelId="{4193BBAD-4D33-4551-82D0-FDDBC7AE2F53}">
      <dgm:prSet phldrT="[Texto]"/>
      <dgm:spPr/>
      <dgm:t>
        <a:bodyPr/>
        <a:lstStyle/>
        <a:p>
          <a:r>
            <a:rPr lang="pt-PT"/>
            <a:t>Prioridades e desejos</a:t>
          </a:r>
        </a:p>
      </dgm:t>
    </dgm:pt>
    <dgm:pt modelId="{8859F996-1F24-45F9-8008-B4B9E2687D08}" type="parTrans" cxnId="{CF4D8F21-FE2F-4A49-9E0A-1C42E09478C9}">
      <dgm:prSet/>
      <dgm:spPr/>
      <dgm:t>
        <a:bodyPr/>
        <a:lstStyle/>
        <a:p>
          <a:endParaRPr lang="pt-PT"/>
        </a:p>
      </dgm:t>
    </dgm:pt>
    <dgm:pt modelId="{4100383F-41A0-460A-A259-1AE8DD21FD72}" type="sibTrans" cxnId="{CF4D8F21-FE2F-4A49-9E0A-1C42E09478C9}">
      <dgm:prSet/>
      <dgm:spPr/>
      <dgm:t>
        <a:bodyPr/>
        <a:lstStyle/>
        <a:p>
          <a:endParaRPr lang="pt-PT"/>
        </a:p>
      </dgm:t>
    </dgm:pt>
    <dgm:pt modelId="{0306208C-ED56-4C6C-BB45-73E1DBF0F6A8}">
      <dgm:prSet phldrT="[Texto]"/>
      <dgm:spPr/>
      <dgm:t>
        <a:bodyPr/>
        <a:lstStyle/>
        <a:p>
          <a:r>
            <a:rPr lang="pt-PT"/>
            <a:t>Obrigações e necessidades</a:t>
          </a:r>
        </a:p>
      </dgm:t>
    </dgm:pt>
    <dgm:pt modelId="{313229C9-278B-4E5B-AC27-90EBD483AB99}" type="parTrans" cxnId="{923E2E87-E58B-485D-85C5-F1C7C9166A6C}">
      <dgm:prSet/>
      <dgm:spPr/>
      <dgm:t>
        <a:bodyPr/>
        <a:lstStyle/>
        <a:p>
          <a:endParaRPr lang="pt-PT"/>
        </a:p>
      </dgm:t>
    </dgm:pt>
    <dgm:pt modelId="{86B1FB17-0738-45EB-B3F0-73C112574597}" type="sibTrans" cxnId="{923E2E87-E58B-485D-85C5-F1C7C9166A6C}">
      <dgm:prSet/>
      <dgm:spPr/>
      <dgm:t>
        <a:bodyPr/>
        <a:lstStyle/>
        <a:p>
          <a:endParaRPr lang="pt-PT"/>
        </a:p>
      </dgm:t>
    </dgm:pt>
    <dgm:pt modelId="{D8EC99E1-D97E-45DC-B382-885AFED88C3A}" type="pres">
      <dgm:prSet presAssocID="{AB12D609-386C-4D08-A926-F0DBE5E89D2D}" presName="compositeShape" presStyleCnt="0">
        <dgm:presLayoutVars>
          <dgm:dir/>
          <dgm:resizeHandles/>
        </dgm:presLayoutVars>
      </dgm:prSet>
      <dgm:spPr/>
    </dgm:pt>
    <dgm:pt modelId="{EBA65FBE-92B4-4E06-A249-B6102B271587}" type="pres">
      <dgm:prSet presAssocID="{AB12D609-386C-4D08-A926-F0DBE5E89D2D}" presName="pyramid" presStyleLbl="node1" presStyleIdx="0" presStyleCnt="1"/>
      <dgm:spPr/>
    </dgm:pt>
    <dgm:pt modelId="{7D96D578-504A-4E80-80D0-E95EBFBEA36C}" type="pres">
      <dgm:prSet presAssocID="{AB12D609-386C-4D08-A926-F0DBE5E89D2D}" presName="theList" presStyleCnt="0"/>
      <dgm:spPr/>
    </dgm:pt>
    <dgm:pt modelId="{8757BFAE-DD78-413A-82D6-96E27728B7AC}" type="pres">
      <dgm:prSet presAssocID="{B2689C72-CE09-4ACB-8C62-0B2676D72140}" presName="aNode" presStyleLbl="fgAcc1" presStyleIdx="0" presStyleCnt="3">
        <dgm:presLayoutVars>
          <dgm:bulletEnabled val="1"/>
        </dgm:presLayoutVars>
      </dgm:prSet>
      <dgm:spPr/>
    </dgm:pt>
    <dgm:pt modelId="{F64FEAE8-3D62-4B21-8E86-FB8162C95A67}" type="pres">
      <dgm:prSet presAssocID="{B2689C72-CE09-4ACB-8C62-0B2676D72140}" presName="aSpace" presStyleCnt="0"/>
      <dgm:spPr/>
    </dgm:pt>
    <dgm:pt modelId="{E61524A8-12DE-4A5D-AA85-36C54F398976}" type="pres">
      <dgm:prSet presAssocID="{4193BBAD-4D33-4551-82D0-FDDBC7AE2F53}" presName="aNode" presStyleLbl="fgAcc1" presStyleIdx="1" presStyleCnt="3">
        <dgm:presLayoutVars>
          <dgm:bulletEnabled val="1"/>
        </dgm:presLayoutVars>
      </dgm:prSet>
      <dgm:spPr/>
    </dgm:pt>
    <dgm:pt modelId="{F8196FFB-6A00-4EF0-A707-FA8343D95821}" type="pres">
      <dgm:prSet presAssocID="{4193BBAD-4D33-4551-82D0-FDDBC7AE2F53}" presName="aSpace" presStyleCnt="0"/>
      <dgm:spPr/>
    </dgm:pt>
    <dgm:pt modelId="{4ED9F57D-4578-4500-871C-3E3A2B1C3CCB}" type="pres">
      <dgm:prSet presAssocID="{0306208C-ED56-4C6C-BB45-73E1DBF0F6A8}" presName="aNode" presStyleLbl="fgAcc1" presStyleIdx="2" presStyleCnt="3">
        <dgm:presLayoutVars>
          <dgm:bulletEnabled val="1"/>
        </dgm:presLayoutVars>
      </dgm:prSet>
      <dgm:spPr/>
    </dgm:pt>
    <dgm:pt modelId="{D71243A8-4889-436F-B9CB-97CDB0EE22DF}" type="pres">
      <dgm:prSet presAssocID="{0306208C-ED56-4C6C-BB45-73E1DBF0F6A8}" presName="aSpace" presStyleCnt="0"/>
      <dgm:spPr/>
    </dgm:pt>
  </dgm:ptLst>
  <dgm:cxnLst>
    <dgm:cxn modelId="{CF4D8F21-FE2F-4A49-9E0A-1C42E09478C9}" srcId="{AB12D609-386C-4D08-A926-F0DBE5E89D2D}" destId="{4193BBAD-4D33-4551-82D0-FDDBC7AE2F53}" srcOrd="1" destOrd="0" parTransId="{8859F996-1F24-45F9-8008-B4B9E2687D08}" sibTransId="{4100383F-41A0-460A-A259-1AE8DD21FD72}"/>
    <dgm:cxn modelId="{C8BA4C44-69FE-49BD-BE3F-00FE6FF567E6}" type="presOf" srcId="{B2689C72-CE09-4ACB-8C62-0B2676D72140}" destId="{8757BFAE-DD78-413A-82D6-96E27728B7AC}" srcOrd="0" destOrd="0" presId="urn:microsoft.com/office/officeart/2005/8/layout/pyramid2"/>
    <dgm:cxn modelId="{16D87A45-65CB-4BBE-B8C0-4DCCED765399}" srcId="{AB12D609-386C-4D08-A926-F0DBE5E89D2D}" destId="{B2689C72-CE09-4ACB-8C62-0B2676D72140}" srcOrd="0" destOrd="0" parTransId="{3B09671F-C501-4A24-9C1E-A0CB7F6D6D7E}" sibTransId="{D93AEEC8-52FE-4645-A1E6-B873C97EC956}"/>
    <dgm:cxn modelId="{923E2E87-E58B-485D-85C5-F1C7C9166A6C}" srcId="{AB12D609-386C-4D08-A926-F0DBE5E89D2D}" destId="{0306208C-ED56-4C6C-BB45-73E1DBF0F6A8}" srcOrd="2" destOrd="0" parTransId="{313229C9-278B-4E5B-AC27-90EBD483AB99}" sibTransId="{86B1FB17-0738-45EB-B3F0-73C112574597}"/>
    <dgm:cxn modelId="{129314B5-3D1E-4FD9-8483-49F215A13466}" type="presOf" srcId="{0306208C-ED56-4C6C-BB45-73E1DBF0F6A8}" destId="{4ED9F57D-4578-4500-871C-3E3A2B1C3CCB}" srcOrd="0" destOrd="0" presId="urn:microsoft.com/office/officeart/2005/8/layout/pyramid2"/>
    <dgm:cxn modelId="{21E674B5-FD0C-40E9-95BA-BF6A4B905183}" type="presOf" srcId="{4193BBAD-4D33-4551-82D0-FDDBC7AE2F53}" destId="{E61524A8-12DE-4A5D-AA85-36C54F398976}" srcOrd="0" destOrd="0" presId="urn:microsoft.com/office/officeart/2005/8/layout/pyramid2"/>
    <dgm:cxn modelId="{2DFEC7E5-02F0-4033-B373-08413E71B5AE}" type="presOf" srcId="{AB12D609-386C-4D08-A926-F0DBE5E89D2D}" destId="{D8EC99E1-D97E-45DC-B382-885AFED88C3A}" srcOrd="0" destOrd="0" presId="urn:microsoft.com/office/officeart/2005/8/layout/pyramid2"/>
    <dgm:cxn modelId="{20E0382C-038C-4889-97E1-7024A3BAAD7B}" type="presParOf" srcId="{D8EC99E1-D97E-45DC-B382-885AFED88C3A}" destId="{EBA65FBE-92B4-4E06-A249-B6102B271587}" srcOrd="0" destOrd="0" presId="urn:microsoft.com/office/officeart/2005/8/layout/pyramid2"/>
    <dgm:cxn modelId="{073592AD-9FFA-4EFF-AF81-FB6126146D68}" type="presParOf" srcId="{D8EC99E1-D97E-45DC-B382-885AFED88C3A}" destId="{7D96D578-504A-4E80-80D0-E95EBFBEA36C}" srcOrd="1" destOrd="0" presId="urn:microsoft.com/office/officeart/2005/8/layout/pyramid2"/>
    <dgm:cxn modelId="{1E670C63-DAE7-44D0-BAB3-07312FB3859D}" type="presParOf" srcId="{7D96D578-504A-4E80-80D0-E95EBFBEA36C}" destId="{8757BFAE-DD78-413A-82D6-96E27728B7AC}" srcOrd="0" destOrd="0" presId="urn:microsoft.com/office/officeart/2005/8/layout/pyramid2"/>
    <dgm:cxn modelId="{E957C11C-F226-4EA3-A195-F3F03E5BB740}" type="presParOf" srcId="{7D96D578-504A-4E80-80D0-E95EBFBEA36C}" destId="{F64FEAE8-3D62-4B21-8E86-FB8162C95A67}" srcOrd="1" destOrd="0" presId="urn:microsoft.com/office/officeart/2005/8/layout/pyramid2"/>
    <dgm:cxn modelId="{47FCACEE-EFE5-4721-A2A3-E567F8129067}" type="presParOf" srcId="{7D96D578-504A-4E80-80D0-E95EBFBEA36C}" destId="{E61524A8-12DE-4A5D-AA85-36C54F398976}" srcOrd="2" destOrd="0" presId="urn:microsoft.com/office/officeart/2005/8/layout/pyramid2"/>
    <dgm:cxn modelId="{541229D1-6831-4853-A484-D54B9BD7A6F1}" type="presParOf" srcId="{7D96D578-504A-4E80-80D0-E95EBFBEA36C}" destId="{F8196FFB-6A00-4EF0-A707-FA8343D95821}" srcOrd="3" destOrd="0" presId="urn:microsoft.com/office/officeart/2005/8/layout/pyramid2"/>
    <dgm:cxn modelId="{ABCAE059-5557-4CDF-8FCC-3C6ADDAE18A4}" type="presParOf" srcId="{7D96D578-504A-4E80-80D0-E95EBFBEA36C}" destId="{4ED9F57D-4578-4500-871C-3E3A2B1C3CCB}" srcOrd="4" destOrd="0" presId="urn:microsoft.com/office/officeart/2005/8/layout/pyramid2"/>
    <dgm:cxn modelId="{D361F4FC-237C-49CB-806B-1D3FF23CD75E}" type="presParOf" srcId="{7D96D578-504A-4E80-80D0-E95EBFBEA36C}" destId="{D71243A8-4889-436F-B9CB-97CDB0EE22DF}" srcOrd="5" destOrd="0" presId="urn:microsoft.com/office/officeart/2005/8/layout/pyramid2"/>
  </dgm:cxnLst>
  <dgm:bg/>
  <dgm:whole/>
  <dgm:extLst>
    <a:ext uri="http://schemas.microsoft.com/office/drawing/2008/diagram">
      <dsp:dataModelExt xmlns:dsp="http://schemas.microsoft.com/office/drawing/2008/diagram" relId="rId7"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20952172-68EB-44AD-A1D9-0036FF6E6E6D}" type="doc">
      <dgm:prSet loTypeId="urn:microsoft.com/office/officeart/2005/8/layout/pyramid2" loCatId="pyramid" qsTypeId="urn:microsoft.com/office/officeart/2005/8/quickstyle/simple1" qsCatId="simple" csTypeId="urn:microsoft.com/office/officeart/2005/8/colors/accent1_2" csCatId="accent1" phldr="1"/>
      <dgm:spPr/>
    </dgm:pt>
    <dgm:pt modelId="{9EB41F30-B0E5-4C5D-B437-A082FA99B23F}">
      <dgm:prSet phldrT="[Texto]"/>
      <dgm:spPr/>
      <dgm:t>
        <a:bodyPr/>
        <a:lstStyle/>
        <a:p>
          <a:r>
            <a:rPr lang="pt-PT"/>
            <a:t>Risco alto</a:t>
          </a:r>
        </a:p>
      </dgm:t>
    </dgm:pt>
    <dgm:pt modelId="{4669EC7E-7DEE-4E74-913F-434CFB7EB667}" type="parTrans" cxnId="{D6E54A76-77C0-4D47-ABFF-54FEAB991B02}">
      <dgm:prSet/>
      <dgm:spPr/>
      <dgm:t>
        <a:bodyPr/>
        <a:lstStyle/>
        <a:p>
          <a:endParaRPr lang="pt-PT"/>
        </a:p>
      </dgm:t>
    </dgm:pt>
    <dgm:pt modelId="{4BA5F1D2-9231-44D8-BA1C-678FD973468E}" type="sibTrans" cxnId="{D6E54A76-77C0-4D47-ABFF-54FEAB991B02}">
      <dgm:prSet/>
      <dgm:spPr/>
      <dgm:t>
        <a:bodyPr/>
        <a:lstStyle/>
        <a:p>
          <a:endParaRPr lang="pt-PT"/>
        </a:p>
      </dgm:t>
    </dgm:pt>
    <dgm:pt modelId="{8911EF97-E04A-44B8-8F57-4BB6B72EE48D}">
      <dgm:prSet phldrT="[Texto]"/>
      <dgm:spPr/>
      <dgm:t>
        <a:bodyPr/>
        <a:lstStyle/>
        <a:p>
          <a:r>
            <a:rPr lang="pt-PT"/>
            <a:t>Risco moderado</a:t>
          </a:r>
        </a:p>
      </dgm:t>
    </dgm:pt>
    <dgm:pt modelId="{06E6D032-E693-4AE2-ADCF-0F7AF2DF614B}" type="parTrans" cxnId="{A6129E9E-A5E6-4D3C-BD6C-C7B9C62DA30B}">
      <dgm:prSet/>
      <dgm:spPr/>
      <dgm:t>
        <a:bodyPr/>
        <a:lstStyle/>
        <a:p>
          <a:endParaRPr lang="pt-PT"/>
        </a:p>
      </dgm:t>
    </dgm:pt>
    <dgm:pt modelId="{1E3B06B9-7833-4AF9-8244-92523DD0AE21}" type="sibTrans" cxnId="{A6129E9E-A5E6-4D3C-BD6C-C7B9C62DA30B}">
      <dgm:prSet/>
      <dgm:spPr/>
      <dgm:t>
        <a:bodyPr/>
        <a:lstStyle/>
        <a:p>
          <a:endParaRPr lang="pt-PT"/>
        </a:p>
      </dgm:t>
    </dgm:pt>
    <dgm:pt modelId="{58C71A84-79E7-410D-8623-C53BB91E3ABD}">
      <dgm:prSet phldrT="[Texto]"/>
      <dgm:spPr/>
      <dgm:t>
        <a:bodyPr/>
        <a:lstStyle/>
        <a:p>
          <a:r>
            <a:rPr lang="pt-PT"/>
            <a:t>Risco baixo</a:t>
          </a:r>
        </a:p>
      </dgm:t>
    </dgm:pt>
    <dgm:pt modelId="{CF0CC28A-8DA9-4596-A36B-09376EE01AEA}" type="parTrans" cxnId="{404CC78F-865A-4108-BFCF-2EDCD7DA758C}">
      <dgm:prSet/>
      <dgm:spPr/>
      <dgm:t>
        <a:bodyPr/>
        <a:lstStyle/>
        <a:p>
          <a:endParaRPr lang="pt-PT"/>
        </a:p>
      </dgm:t>
    </dgm:pt>
    <dgm:pt modelId="{FBECD999-9909-4B46-80EE-091A36740209}" type="sibTrans" cxnId="{404CC78F-865A-4108-BFCF-2EDCD7DA758C}">
      <dgm:prSet/>
      <dgm:spPr/>
      <dgm:t>
        <a:bodyPr/>
        <a:lstStyle/>
        <a:p>
          <a:endParaRPr lang="pt-PT"/>
        </a:p>
      </dgm:t>
    </dgm:pt>
    <dgm:pt modelId="{F2C4C91F-FDD5-47B4-869F-3CAB20B34700}" type="pres">
      <dgm:prSet presAssocID="{20952172-68EB-44AD-A1D9-0036FF6E6E6D}" presName="compositeShape" presStyleCnt="0">
        <dgm:presLayoutVars>
          <dgm:dir/>
          <dgm:resizeHandles/>
        </dgm:presLayoutVars>
      </dgm:prSet>
      <dgm:spPr/>
    </dgm:pt>
    <dgm:pt modelId="{5F7E29C6-E82E-407E-8389-42CCDC98A5DD}" type="pres">
      <dgm:prSet presAssocID="{20952172-68EB-44AD-A1D9-0036FF6E6E6D}" presName="pyramid" presStyleLbl="node1" presStyleIdx="0" presStyleCnt="1"/>
      <dgm:spPr/>
    </dgm:pt>
    <dgm:pt modelId="{928A1F64-F64C-4B34-9CFB-A3A97048F07D}" type="pres">
      <dgm:prSet presAssocID="{20952172-68EB-44AD-A1D9-0036FF6E6E6D}" presName="theList" presStyleCnt="0"/>
      <dgm:spPr/>
    </dgm:pt>
    <dgm:pt modelId="{D3718D50-A77C-457B-A48A-2EBBE44D941A}" type="pres">
      <dgm:prSet presAssocID="{9EB41F30-B0E5-4C5D-B437-A082FA99B23F}" presName="aNode" presStyleLbl="fgAcc1" presStyleIdx="0" presStyleCnt="3">
        <dgm:presLayoutVars>
          <dgm:bulletEnabled val="1"/>
        </dgm:presLayoutVars>
      </dgm:prSet>
      <dgm:spPr/>
    </dgm:pt>
    <dgm:pt modelId="{DB672F88-0F75-4240-B8E3-4BCB9F9794CC}" type="pres">
      <dgm:prSet presAssocID="{9EB41F30-B0E5-4C5D-B437-A082FA99B23F}" presName="aSpace" presStyleCnt="0"/>
      <dgm:spPr/>
    </dgm:pt>
    <dgm:pt modelId="{7CC8A738-3CE1-4BF0-ABE6-9E035729F7F0}" type="pres">
      <dgm:prSet presAssocID="{8911EF97-E04A-44B8-8F57-4BB6B72EE48D}" presName="aNode" presStyleLbl="fgAcc1" presStyleIdx="1" presStyleCnt="3">
        <dgm:presLayoutVars>
          <dgm:bulletEnabled val="1"/>
        </dgm:presLayoutVars>
      </dgm:prSet>
      <dgm:spPr/>
    </dgm:pt>
    <dgm:pt modelId="{DBE81B9D-BC15-4E27-9918-598798F31C5E}" type="pres">
      <dgm:prSet presAssocID="{8911EF97-E04A-44B8-8F57-4BB6B72EE48D}" presName="aSpace" presStyleCnt="0"/>
      <dgm:spPr/>
    </dgm:pt>
    <dgm:pt modelId="{A9DE2C8A-6D6E-4244-AD5A-33851DAE3D91}" type="pres">
      <dgm:prSet presAssocID="{58C71A84-79E7-410D-8623-C53BB91E3ABD}" presName="aNode" presStyleLbl="fgAcc1" presStyleIdx="2" presStyleCnt="3">
        <dgm:presLayoutVars>
          <dgm:bulletEnabled val="1"/>
        </dgm:presLayoutVars>
      </dgm:prSet>
      <dgm:spPr/>
    </dgm:pt>
    <dgm:pt modelId="{ABE53706-D23D-4B0E-B2BC-7D88943A7D0E}" type="pres">
      <dgm:prSet presAssocID="{58C71A84-79E7-410D-8623-C53BB91E3ABD}" presName="aSpace" presStyleCnt="0"/>
      <dgm:spPr/>
    </dgm:pt>
  </dgm:ptLst>
  <dgm:cxnLst>
    <dgm:cxn modelId="{524DD53F-1A90-46A8-844C-D9CC2796A4DF}" type="presOf" srcId="{8911EF97-E04A-44B8-8F57-4BB6B72EE48D}" destId="{7CC8A738-3CE1-4BF0-ABE6-9E035729F7F0}" srcOrd="0" destOrd="0" presId="urn:microsoft.com/office/officeart/2005/8/layout/pyramid2"/>
    <dgm:cxn modelId="{A6594346-0FD3-4C21-9D58-2868453A4890}" type="presOf" srcId="{9EB41F30-B0E5-4C5D-B437-A082FA99B23F}" destId="{D3718D50-A77C-457B-A48A-2EBBE44D941A}" srcOrd="0" destOrd="0" presId="urn:microsoft.com/office/officeart/2005/8/layout/pyramid2"/>
    <dgm:cxn modelId="{D6E54A76-77C0-4D47-ABFF-54FEAB991B02}" srcId="{20952172-68EB-44AD-A1D9-0036FF6E6E6D}" destId="{9EB41F30-B0E5-4C5D-B437-A082FA99B23F}" srcOrd="0" destOrd="0" parTransId="{4669EC7E-7DEE-4E74-913F-434CFB7EB667}" sibTransId="{4BA5F1D2-9231-44D8-BA1C-678FD973468E}"/>
    <dgm:cxn modelId="{404CC78F-865A-4108-BFCF-2EDCD7DA758C}" srcId="{20952172-68EB-44AD-A1D9-0036FF6E6E6D}" destId="{58C71A84-79E7-410D-8623-C53BB91E3ABD}" srcOrd="2" destOrd="0" parTransId="{CF0CC28A-8DA9-4596-A36B-09376EE01AEA}" sibTransId="{FBECD999-9909-4B46-80EE-091A36740209}"/>
    <dgm:cxn modelId="{DB367691-CD1D-4DA6-93FF-3296D90941AD}" type="presOf" srcId="{20952172-68EB-44AD-A1D9-0036FF6E6E6D}" destId="{F2C4C91F-FDD5-47B4-869F-3CAB20B34700}" srcOrd="0" destOrd="0" presId="urn:microsoft.com/office/officeart/2005/8/layout/pyramid2"/>
    <dgm:cxn modelId="{A6129E9E-A5E6-4D3C-BD6C-C7B9C62DA30B}" srcId="{20952172-68EB-44AD-A1D9-0036FF6E6E6D}" destId="{8911EF97-E04A-44B8-8F57-4BB6B72EE48D}" srcOrd="1" destOrd="0" parTransId="{06E6D032-E693-4AE2-ADCF-0F7AF2DF614B}" sibTransId="{1E3B06B9-7833-4AF9-8244-92523DD0AE21}"/>
    <dgm:cxn modelId="{FA21A1C7-0934-49A3-89D3-AFF690A79458}" type="presOf" srcId="{58C71A84-79E7-410D-8623-C53BB91E3ABD}" destId="{A9DE2C8A-6D6E-4244-AD5A-33851DAE3D91}" srcOrd="0" destOrd="0" presId="urn:microsoft.com/office/officeart/2005/8/layout/pyramid2"/>
    <dgm:cxn modelId="{16A07DE9-F70C-480D-80D4-61FBE816C506}" type="presParOf" srcId="{F2C4C91F-FDD5-47B4-869F-3CAB20B34700}" destId="{5F7E29C6-E82E-407E-8389-42CCDC98A5DD}" srcOrd="0" destOrd="0" presId="urn:microsoft.com/office/officeart/2005/8/layout/pyramid2"/>
    <dgm:cxn modelId="{1481E9B1-F388-4918-8276-A81CC6A24504}" type="presParOf" srcId="{F2C4C91F-FDD5-47B4-869F-3CAB20B34700}" destId="{928A1F64-F64C-4B34-9CFB-A3A97048F07D}" srcOrd="1" destOrd="0" presId="urn:microsoft.com/office/officeart/2005/8/layout/pyramid2"/>
    <dgm:cxn modelId="{9DD58F1D-6569-40F8-93CC-3B9C2C22245F}" type="presParOf" srcId="{928A1F64-F64C-4B34-9CFB-A3A97048F07D}" destId="{D3718D50-A77C-457B-A48A-2EBBE44D941A}" srcOrd="0" destOrd="0" presId="urn:microsoft.com/office/officeart/2005/8/layout/pyramid2"/>
    <dgm:cxn modelId="{1BFF4E37-836B-4CB5-8386-0053E32D4E69}" type="presParOf" srcId="{928A1F64-F64C-4B34-9CFB-A3A97048F07D}" destId="{DB672F88-0F75-4240-B8E3-4BCB9F9794CC}" srcOrd="1" destOrd="0" presId="urn:microsoft.com/office/officeart/2005/8/layout/pyramid2"/>
    <dgm:cxn modelId="{EE40472C-44C6-4EEC-B9D0-0EE246273B3E}" type="presParOf" srcId="{928A1F64-F64C-4B34-9CFB-A3A97048F07D}" destId="{7CC8A738-3CE1-4BF0-ABE6-9E035729F7F0}" srcOrd="2" destOrd="0" presId="urn:microsoft.com/office/officeart/2005/8/layout/pyramid2"/>
    <dgm:cxn modelId="{9D52955A-9F38-4353-AB01-AC6D18A0673E}" type="presParOf" srcId="{928A1F64-F64C-4B34-9CFB-A3A97048F07D}" destId="{DBE81B9D-BC15-4E27-9918-598798F31C5E}" srcOrd="3" destOrd="0" presId="urn:microsoft.com/office/officeart/2005/8/layout/pyramid2"/>
    <dgm:cxn modelId="{7E47A556-934F-4C90-81A5-3BC32B4B2B9D}" type="presParOf" srcId="{928A1F64-F64C-4B34-9CFB-A3A97048F07D}" destId="{A9DE2C8A-6D6E-4244-AD5A-33851DAE3D91}" srcOrd="4" destOrd="0" presId="urn:microsoft.com/office/officeart/2005/8/layout/pyramid2"/>
    <dgm:cxn modelId="{59B4D7DC-FB33-4816-8B8E-AFC74FC610A5}" type="presParOf" srcId="{928A1F64-F64C-4B34-9CFB-A3A97048F07D}" destId="{ABE53706-D23D-4B0E-B2BC-7D88943A7D0E}" srcOrd="5" destOrd="0" presId="urn:microsoft.com/office/officeart/2005/8/layout/pyramid2"/>
  </dgm:cxnLst>
  <dgm:bg/>
  <dgm:whole/>
  <dgm:extLst>
    <a:ext uri="http://schemas.microsoft.com/office/drawing/2008/diagram">
      <dsp:dataModelExt xmlns:dsp="http://schemas.microsoft.com/office/drawing/2008/diagram" relId="rId12"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EBA65FBE-92B4-4E06-A249-B6102B271587}">
      <dsp:nvSpPr>
        <dsp:cNvPr id="0" name=""/>
        <dsp:cNvSpPr/>
      </dsp:nvSpPr>
      <dsp:spPr>
        <a:xfrm>
          <a:off x="903922" y="0"/>
          <a:ext cx="2743200" cy="2743200"/>
        </a:xfrm>
        <a:prstGeom prst="triangle">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757BFAE-DD78-413A-82D6-96E27728B7AC}">
      <dsp:nvSpPr>
        <dsp:cNvPr id="0" name=""/>
        <dsp:cNvSpPr/>
      </dsp:nvSpPr>
      <dsp:spPr>
        <a:xfrm>
          <a:off x="2275522" y="275793"/>
          <a:ext cx="1783080" cy="649366"/>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pt-PT" sz="1600" kern="1200"/>
            <a:t>Ambições</a:t>
          </a:r>
        </a:p>
      </dsp:txBody>
      <dsp:txXfrm>
        <a:off x="2307221" y="307492"/>
        <a:ext cx="1719682" cy="585968"/>
      </dsp:txXfrm>
    </dsp:sp>
    <dsp:sp modelId="{E61524A8-12DE-4A5D-AA85-36C54F398976}">
      <dsp:nvSpPr>
        <dsp:cNvPr id="0" name=""/>
        <dsp:cNvSpPr/>
      </dsp:nvSpPr>
      <dsp:spPr>
        <a:xfrm>
          <a:off x="2275522" y="1006331"/>
          <a:ext cx="1783080" cy="649366"/>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pt-PT" sz="1600" kern="1200"/>
            <a:t>Prioridades e desejos</a:t>
          </a:r>
        </a:p>
      </dsp:txBody>
      <dsp:txXfrm>
        <a:off x="2307221" y="1038030"/>
        <a:ext cx="1719682" cy="585968"/>
      </dsp:txXfrm>
    </dsp:sp>
    <dsp:sp modelId="{4ED9F57D-4578-4500-871C-3E3A2B1C3CCB}">
      <dsp:nvSpPr>
        <dsp:cNvPr id="0" name=""/>
        <dsp:cNvSpPr/>
      </dsp:nvSpPr>
      <dsp:spPr>
        <a:xfrm>
          <a:off x="2275522" y="1736868"/>
          <a:ext cx="1783080" cy="649366"/>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pt-PT" sz="1600" kern="1200"/>
            <a:t>Obrigações e necessidades</a:t>
          </a:r>
        </a:p>
      </dsp:txBody>
      <dsp:txXfrm>
        <a:off x="2307221" y="1768567"/>
        <a:ext cx="1719682" cy="58596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F7E29C6-E82E-407E-8389-42CCDC98A5DD}">
      <dsp:nvSpPr>
        <dsp:cNvPr id="0" name=""/>
        <dsp:cNvSpPr/>
      </dsp:nvSpPr>
      <dsp:spPr>
        <a:xfrm>
          <a:off x="2204084" y="0"/>
          <a:ext cx="2743200" cy="2743200"/>
        </a:xfrm>
        <a:prstGeom prst="triangle">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D3718D50-A77C-457B-A48A-2EBBE44D941A}">
      <dsp:nvSpPr>
        <dsp:cNvPr id="0" name=""/>
        <dsp:cNvSpPr/>
      </dsp:nvSpPr>
      <dsp:spPr>
        <a:xfrm>
          <a:off x="3575684" y="275793"/>
          <a:ext cx="1783080" cy="649366"/>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pt-PT" sz="1800" kern="1200"/>
            <a:t>Risco alto</a:t>
          </a:r>
        </a:p>
      </dsp:txBody>
      <dsp:txXfrm>
        <a:off x="3607383" y="307492"/>
        <a:ext cx="1719682" cy="585968"/>
      </dsp:txXfrm>
    </dsp:sp>
    <dsp:sp modelId="{7CC8A738-3CE1-4BF0-ABE6-9E035729F7F0}">
      <dsp:nvSpPr>
        <dsp:cNvPr id="0" name=""/>
        <dsp:cNvSpPr/>
      </dsp:nvSpPr>
      <dsp:spPr>
        <a:xfrm>
          <a:off x="3575684" y="1006331"/>
          <a:ext cx="1783080" cy="649366"/>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pt-PT" sz="1800" kern="1200"/>
            <a:t>Risco moderado</a:t>
          </a:r>
        </a:p>
      </dsp:txBody>
      <dsp:txXfrm>
        <a:off x="3607383" y="1038030"/>
        <a:ext cx="1719682" cy="585968"/>
      </dsp:txXfrm>
    </dsp:sp>
    <dsp:sp modelId="{A9DE2C8A-6D6E-4244-AD5A-33851DAE3D91}">
      <dsp:nvSpPr>
        <dsp:cNvPr id="0" name=""/>
        <dsp:cNvSpPr/>
      </dsp:nvSpPr>
      <dsp:spPr>
        <a:xfrm>
          <a:off x="3575684" y="1736868"/>
          <a:ext cx="1783080" cy="649366"/>
        </a:xfrm>
        <a:prstGeom prst="round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68580" tIns="68580" rIns="68580" bIns="68580" numCol="1" spcCol="1270" anchor="ctr" anchorCtr="0">
          <a:noAutofit/>
        </a:bodyPr>
        <a:lstStyle/>
        <a:p>
          <a:pPr marL="0" lvl="0" indent="0" algn="ctr" defTabSz="800100">
            <a:lnSpc>
              <a:spcPct val="90000"/>
            </a:lnSpc>
            <a:spcBef>
              <a:spcPct val="0"/>
            </a:spcBef>
            <a:spcAft>
              <a:spcPct val="35000"/>
            </a:spcAft>
            <a:buNone/>
          </a:pPr>
          <a:r>
            <a:rPr lang="pt-PT" sz="1800" kern="1200"/>
            <a:t>Risco baixo</a:t>
          </a:r>
        </a:p>
      </dsp:txBody>
      <dsp:txXfrm>
        <a:off x="3607383" y="1768567"/>
        <a:ext cx="1719682" cy="585968"/>
      </dsp:txXfrm>
    </dsp:sp>
  </dsp:spTree>
</dsp:drawing>
</file>

<file path=xl/diagrams/layout1.xml><?xml version="1.0" encoding="utf-8"?>
<dgm:layoutDef xmlns:dgm="http://schemas.openxmlformats.org/drawingml/2006/diagram" xmlns:a="http://schemas.openxmlformats.org/drawingml/2006/main" uniqueId="urn:microsoft.com/office/officeart/2005/8/layout/pyramid2">
  <dgm:title val=""/>
  <dgm:desc val=""/>
  <dgm:catLst>
    <dgm:cat type="pyramid" pri="3000"/>
    <dgm:cat type="list" pri="21000"/>
    <dgm:cat type="convert" pri="17000"/>
  </dgm:catLst>
  <dgm:sampData useDef="1">
    <dgm:dataModel>
      <dgm:ptLst/>
      <dgm:bg/>
      <dgm:whole/>
    </dgm:dataModel>
  </dgm:sampData>
  <dgm:styleData useDef="1">
    <dgm:dataModel>
      <dgm:ptLst/>
      <dgm:bg/>
      <dgm:whole/>
    </dgm:dataModel>
  </dgm:styleData>
  <dgm:clrData useDef="1">
    <dgm:dataModel>
      <dgm:ptLst/>
      <dgm:bg/>
      <dgm:whole/>
    </dgm:dataModel>
  </dgm:clrData>
  <dgm:layoutNode name="compositeShape">
    <dgm:alg type="composite"/>
    <dgm:shape xmlns:r="http://schemas.openxmlformats.org/officeDocument/2006/relationships" r:blip="">
      <dgm:adjLst/>
    </dgm:shape>
    <dgm:presOf/>
    <dgm:varLst>
      <dgm:dir/>
      <dgm:resizeHandles/>
    </dgm:varLst>
    <dgm:choose name="Name0">
      <dgm:if name="Name1" func="var" arg="dir" op="equ" val="norm">
        <dgm:constrLst>
          <dgm:constr type="w" for="ch" forName="pyramid" refType="h"/>
          <dgm:constr type="h" for="ch" forName="pyramid" refType="h"/>
          <dgm:constr type="h" for="ch" forName="theList" refType="h" fact="0.8"/>
          <dgm:constr type="w" for="ch" forName="theList" refType="h" fact="0.65"/>
          <dgm:constr type="ctrY" for="ch" forName="theList" refType="h" refFor="ch" refForName="pyramid" fact="0.5"/>
          <dgm:constr type="l" for="ch" forName="theList" refType="w" refFor="ch" refForName="pyramid" fact="0.5"/>
          <dgm:constr type="h" for="des" forName="aSpace" refType="h" fact="0.1"/>
        </dgm:constrLst>
      </dgm:if>
      <dgm:else name="Name2">
        <dgm:constrLst>
          <dgm:constr type="w" for="ch" forName="pyramid" refType="h"/>
          <dgm:constr type="h" for="ch" forName="pyramid" refType="h"/>
          <dgm:constr type="h" for="ch" forName="theList" refType="h" fact="0.8"/>
          <dgm:constr type="w" for="ch" forName="theList" refType="h" fact="0.65"/>
          <dgm:constr type="ctrY" for="ch" forName="theList" refType="h" refFor="ch" refForName="pyramid" fact="0.5"/>
          <dgm:constr type="r" for="ch" forName="theList" refType="w" refFor="ch" refForName="pyramid" fact="0.5"/>
          <dgm:constr type="h" for="des" forName="aSpace" refType="h" fact="0.1"/>
        </dgm:constrLst>
      </dgm:else>
    </dgm:choose>
    <dgm:ruleLst/>
    <dgm:choose name="Name3">
      <dgm:if name="Name4" axis="ch" ptType="node" func="cnt" op="gte" val="1">
        <dgm:layoutNode name="pyramid" styleLbl="node1">
          <dgm:alg type="sp"/>
          <dgm:shape xmlns:r="http://schemas.openxmlformats.org/officeDocument/2006/relationships" type="triangle" r:blip="">
            <dgm:adjLst/>
          </dgm:shape>
          <dgm:presOf/>
          <dgm:constrLst/>
          <dgm:ruleLst/>
        </dgm:layoutNode>
        <dgm:layoutNode name="theList">
          <dgm:alg type="lin">
            <dgm:param type="linDir" val="fromT"/>
          </dgm:alg>
          <dgm:shape xmlns:r="http://schemas.openxmlformats.org/officeDocument/2006/relationships" r:blip="">
            <dgm:adjLst/>
          </dgm:shape>
          <dgm:presOf/>
          <dgm:constrLst>
            <dgm:constr type="w" for="ch" forName="aNode" refType="w"/>
            <dgm:constr type="h" for="ch" forName="aNode" refType="h"/>
            <dgm:constr type="primFontSz" for="ch" ptType="node" op="equ"/>
          </dgm:constrLst>
          <dgm:ruleLst/>
          <dgm:forEach name="aNodeForEach" axis="ch" ptType="node">
            <dgm:layoutNode name="aNode" styleLbl="fgAcc1">
              <dgm:varLst>
                <dgm:bulletEnabled val="1"/>
              </dgm:varLst>
              <dgm:alg type="tx"/>
              <dgm:shape xmlns:r="http://schemas.openxmlformats.org/officeDocument/2006/relationships" type="roundRect" r:blip="">
                <dgm:adjLst/>
              </dgm:shape>
              <dgm:presOf axis="desOrSelf" ptType="node"/>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aSpace">
              <dgm:alg type="sp"/>
              <dgm:shape xmlns:r="http://schemas.openxmlformats.org/officeDocument/2006/relationships" r:blip="">
                <dgm:adjLst/>
              </dgm:shape>
              <dgm:presOf/>
              <dgm:constrLst/>
              <dgm:ruleLst/>
            </dgm:layoutNode>
          </dgm:forEach>
        </dgm:layoutNode>
      </dgm:if>
      <dgm:else name="Name5"/>
    </dgm:choose>
  </dgm:layoutNode>
</dgm:layoutDef>
</file>

<file path=xl/diagrams/layout2.xml><?xml version="1.0" encoding="utf-8"?>
<dgm:layoutDef xmlns:dgm="http://schemas.openxmlformats.org/drawingml/2006/diagram" xmlns:a="http://schemas.openxmlformats.org/drawingml/2006/main" uniqueId="urn:microsoft.com/office/officeart/2005/8/layout/pyramid2">
  <dgm:title val=""/>
  <dgm:desc val=""/>
  <dgm:catLst>
    <dgm:cat type="pyramid" pri="3000"/>
    <dgm:cat type="list" pri="21000"/>
    <dgm:cat type="convert" pri="17000"/>
  </dgm:catLst>
  <dgm:sampData useDef="1">
    <dgm:dataModel>
      <dgm:ptLst/>
      <dgm:bg/>
      <dgm:whole/>
    </dgm:dataModel>
  </dgm:sampData>
  <dgm:styleData useDef="1">
    <dgm:dataModel>
      <dgm:ptLst/>
      <dgm:bg/>
      <dgm:whole/>
    </dgm:dataModel>
  </dgm:styleData>
  <dgm:clrData useDef="1">
    <dgm:dataModel>
      <dgm:ptLst/>
      <dgm:bg/>
      <dgm:whole/>
    </dgm:dataModel>
  </dgm:clrData>
  <dgm:layoutNode name="compositeShape">
    <dgm:alg type="composite"/>
    <dgm:shape xmlns:r="http://schemas.openxmlformats.org/officeDocument/2006/relationships" r:blip="">
      <dgm:adjLst/>
    </dgm:shape>
    <dgm:presOf/>
    <dgm:varLst>
      <dgm:dir/>
      <dgm:resizeHandles/>
    </dgm:varLst>
    <dgm:choose name="Name0">
      <dgm:if name="Name1" func="var" arg="dir" op="equ" val="norm">
        <dgm:constrLst>
          <dgm:constr type="w" for="ch" forName="pyramid" refType="h"/>
          <dgm:constr type="h" for="ch" forName="pyramid" refType="h"/>
          <dgm:constr type="h" for="ch" forName="theList" refType="h" fact="0.8"/>
          <dgm:constr type="w" for="ch" forName="theList" refType="h" fact="0.65"/>
          <dgm:constr type="ctrY" for="ch" forName="theList" refType="h" refFor="ch" refForName="pyramid" fact="0.5"/>
          <dgm:constr type="l" for="ch" forName="theList" refType="w" refFor="ch" refForName="pyramid" fact="0.5"/>
          <dgm:constr type="h" for="des" forName="aSpace" refType="h" fact="0.1"/>
        </dgm:constrLst>
      </dgm:if>
      <dgm:else name="Name2">
        <dgm:constrLst>
          <dgm:constr type="w" for="ch" forName="pyramid" refType="h"/>
          <dgm:constr type="h" for="ch" forName="pyramid" refType="h"/>
          <dgm:constr type="h" for="ch" forName="theList" refType="h" fact="0.8"/>
          <dgm:constr type="w" for="ch" forName="theList" refType="h" fact="0.65"/>
          <dgm:constr type="ctrY" for="ch" forName="theList" refType="h" refFor="ch" refForName="pyramid" fact="0.5"/>
          <dgm:constr type="r" for="ch" forName="theList" refType="w" refFor="ch" refForName="pyramid" fact="0.5"/>
          <dgm:constr type="h" for="des" forName="aSpace" refType="h" fact="0.1"/>
        </dgm:constrLst>
      </dgm:else>
    </dgm:choose>
    <dgm:ruleLst/>
    <dgm:choose name="Name3">
      <dgm:if name="Name4" axis="ch" ptType="node" func="cnt" op="gte" val="1">
        <dgm:layoutNode name="pyramid" styleLbl="node1">
          <dgm:alg type="sp"/>
          <dgm:shape xmlns:r="http://schemas.openxmlformats.org/officeDocument/2006/relationships" type="triangle" r:blip="">
            <dgm:adjLst/>
          </dgm:shape>
          <dgm:presOf/>
          <dgm:constrLst/>
          <dgm:ruleLst/>
        </dgm:layoutNode>
        <dgm:layoutNode name="theList">
          <dgm:alg type="lin">
            <dgm:param type="linDir" val="fromT"/>
          </dgm:alg>
          <dgm:shape xmlns:r="http://schemas.openxmlformats.org/officeDocument/2006/relationships" r:blip="">
            <dgm:adjLst/>
          </dgm:shape>
          <dgm:presOf/>
          <dgm:constrLst>
            <dgm:constr type="w" for="ch" forName="aNode" refType="w"/>
            <dgm:constr type="h" for="ch" forName="aNode" refType="h"/>
            <dgm:constr type="primFontSz" for="ch" ptType="node" op="equ"/>
          </dgm:constrLst>
          <dgm:ruleLst/>
          <dgm:forEach name="aNodeForEach" axis="ch" ptType="node">
            <dgm:layoutNode name="aNode" styleLbl="fgAcc1">
              <dgm:varLst>
                <dgm:bulletEnabled val="1"/>
              </dgm:varLst>
              <dgm:alg type="tx"/>
              <dgm:shape xmlns:r="http://schemas.openxmlformats.org/officeDocument/2006/relationships" type="roundRect" r:blip="">
                <dgm:adjLst/>
              </dgm:shape>
              <dgm:presOf axis="desOrSelf" ptType="node"/>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aSpace">
              <dgm:alg type="sp"/>
              <dgm:shape xmlns:r="http://schemas.openxmlformats.org/officeDocument/2006/relationships" r:blip="">
                <dgm:adjLst/>
              </dgm:shape>
              <dgm:presOf/>
              <dgm:constrLst/>
              <dgm:ruleLst/>
            </dgm:layoutNode>
          </dgm:forEach>
        </dgm:layoutNode>
      </dgm:if>
      <dgm:else name="Name5"/>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diagramData" Target="../diagrams/data2.xml"/><Relationship Id="rId3" Type="http://schemas.openxmlformats.org/officeDocument/2006/relationships/diagramData" Target="../diagrams/data1.xml"/><Relationship Id="rId7" Type="http://schemas.microsoft.com/office/2007/relationships/diagramDrawing" Target="../diagrams/drawing1.xml"/><Relationship Id="rId12" Type="http://schemas.microsoft.com/office/2007/relationships/diagramDrawing" Target="../diagrams/drawing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diagramColors" Target="../diagrams/colors1.xml"/><Relationship Id="rId11" Type="http://schemas.openxmlformats.org/officeDocument/2006/relationships/diagramColors" Target="../diagrams/colors2.xml"/><Relationship Id="rId5" Type="http://schemas.openxmlformats.org/officeDocument/2006/relationships/diagramQuickStyle" Target="../diagrams/quickStyle1.xml"/><Relationship Id="rId10" Type="http://schemas.openxmlformats.org/officeDocument/2006/relationships/diagramQuickStyle" Target="../diagrams/quickStyle2.xml"/><Relationship Id="rId4" Type="http://schemas.openxmlformats.org/officeDocument/2006/relationships/diagramLayout" Target="../diagrams/layout1.xml"/><Relationship Id="rId9" Type="http://schemas.openxmlformats.org/officeDocument/2006/relationships/diagramLayout" Target="../diagrams/layou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3973286</xdr:colOff>
      <xdr:row>133</xdr:row>
      <xdr:rowOff>6122</xdr:rowOff>
    </xdr:from>
    <xdr:to>
      <xdr:col>8</xdr:col>
      <xdr:colOff>714375</xdr:colOff>
      <xdr:row>158</xdr:row>
      <xdr:rowOff>149677</xdr:rowOff>
    </xdr:to>
    <xdr:graphicFrame macro="">
      <xdr:nvGraphicFramePr>
        <xdr:cNvPr id="2" name="Gráfico 1">
          <a:extLst>
            <a:ext uri="{FF2B5EF4-FFF2-40B4-BE49-F238E27FC236}">
              <a16:creationId xmlns:a16="http://schemas.microsoft.com/office/drawing/2014/main" id="{69547CAE-6913-4D5A-AD26-F7B306BA3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103</xdr:row>
      <xdr:rowOff>0</xdr:rowOff>
    </xdr:from>
    <xdr:to>
      <xdr:col>9</xdr:col>
      <xdr:colOff>1037036</xdr:colOff>
      <xdr:row>117</xdr:row>
      <xdr:rowOff>142524</xdr:rowOff>
    </xdr:to>
    <xdr:pic>
      <xdr:nvPicPr>
        <xdr:cNvPr id="2" name="Imagem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609600" y="10620375"/>
          <a:ext cx="9514286" cy="2809524"/>
        </a:xfrm>
        <a:prstGeom prst="rect">
          <a:avLst/>
        </a:prstGeom>
      </xdr:spPr>
    </xdr:pic>
    <xdr:clientData/>
  </xdr:twoCellAnchor>
  <xdr:twoCellAnchor editAs="oneCell">
    <xdr:from>
      <xdr:col>1</xdr:col>
      <xdr:colOff>0</xdr:colOff>
      <xdr:row>119</xdr:row>
      <xdr:rowOff>0</xdr:rowOff>
    </xdr:from>
    <xdr:to>
      <xdr:col>9</xdr:col>
      <xdr:colOff>741798</xdr:colOff>
      <xdr:row>148</xdr:row>
      <xdr:rowOff>8833</xdr:rowOff>
    </xdr:to>
    <xdr:pic>
      <xdr:nvPicPr>
        <xdr:cNvPr id="3" name="Imagem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609600" y="13668375"/>
          <a:ext cx="9219048" cy="5533333"/>
        </a:xfrm>
        <a:prstGeom prst="rect">
          <a:avLst/>
        </a:prstGeom>
      </xdr:spPr>
    </xdr:pic>
    <xdr:clientData/>
  </xdr:twoCellAnchor>
  <xdr:twoCellAnchor>
    <xdr:from>
      <xdr:col>10</xdr:col>
      <xdr:colOff>352425</xdr:colOff>
      <xdr:row>124</xdr:row>
      <xdr:rowOff>42862</xdr:rowOff>
    </xdr:from>
    <xdr:to>
      <xdr:col>14</xdr:col>
      <xdr:colOff>314325</xdr:colOff>
      <xdr:row>138</xdr:row>
      <xdr:rowOff>119062</xdr:rowOff>
    </xdr:to>
    <xdr:graphicFrame macro="">
      <xdr:nvGraphicFramePr>
        <xdr:cNvPr id="7" name="Diagrama 6">
          <a:extLst>
            <a:ext uri="{FF2B5EF4-FFF2-40B4-BE49-F238E27FC236}">
              <a16:creationId xmlns:a16="http://schemas.microsoft.com/office/drawing/2014/main" id="{92EFC194-F800-41E6-A860-60A3F6236B7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 r:lo="rId4" r:qs="rId5" r:cs="rId6"/>
        </a:graphicData>
      </a:graphic>
    </xdr:graphicFrame>
    <xdr:clientData/>
  </xdr:twoCellAnchor>
  <xdr:twoCellAnchor>
    <xdr:from>
      <xdr:col>12</xdr:col>
      <xdr:colOff>200025</xdr:colOff>
      <xdr:row>124</xdr:row>
      <xdr:rowOff>52387</xdr:rowOff>
    </xdr:from>
    <xdr:to>
      <xdr:col>19</xdr:col>
      <xdr:colOff>504825</xdr:colOff>
      <xdr:row>138</xdr:row>
      <xdr:rowOff>128587</xdr:rowOff>
    </xdr:to>
    <xdr:graphicFrame macro="">
      <xdr:nvGraphicFramePr>
        <xdr:cNvPr id="8" name="Diagrama 7">
          <a:extLst>
            <a:ext uri="{FF2B5EF4-FFF2-40B4-BE49-F238E27FC236}">
              <a16:creationId xmlns:a16="http://schemas.microsoft.com/office/drawing/2014/main" id="{F5897A33-AB80-4C85-A30E-EA8FE202E77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 r:lo="rId9" r:qs="rId10" r:cs="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4482</xdr:colOff>
      <xdr:row>36</xdr:row>
      <xdr:rowOff>21852</xdr:rowOff>
    </xdr:from>
    <xdr:to>
      <xdr:col>4</xdr:col>
      <xdr:colOff>1586254</xdr:colOff>
      <xdr:row>39</xdr:row>
      <xdr:rowOff>59951</xdr:rowOff>
    </xdr:to>
    <xdr:pic>
      <xdr:nvPicPr>
        <xdr:cNvPr id="2" name="Imagem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4117041" y="7496176"/>
          <a:ext cx="1581772" cy="676834"/>
        </a:xfrm>
        <a:prstGeom prst="rect">
          <a:avLst/>
        </a:prstGeom>
      </xdr:spPr>
    </xdr:pic>
    <xdr:clientData/>
  </xdr:twoCellAnchor>
  <xdr:twoCellAnchor editAs="oneCell">
    <xdr:from>
      <xdr:col>5</xdr:col>
      <xdr:colOff>22972</xdr:colOff>
      <xdr:row>34</xdr:row>
      <xdr:rowOff>75640</xdr:rowOff>
    </xdr:from>
    <xdr:to>
      <xdr:col>6</xdr:col>
      <xdr:colOff>989493</xdr:colOff>
      <xdr:row>38</xdr:row>
      <xdr:rowOff>80122</xdr:rowOff>
    </xdr:to>
    <xdr:pic>
      <xdr:nvPicPr>
        <xdr:cNvPr id="3" name="Imagem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7239560" y="7135346"/>
          <a:ext cx="2075904" cy="867335"/>
        </a:xfrm>
        <a:prstGeom prst="rect">
          <a:avLst/>
        </a:prstGeom>
      </xdr:spPr>
    </xdr:pic>
    <xdr:clientData/>
  </xdr:twoCellAnchor>
  <xdr:oneCellAnchor>
    <xdr:from>
      <xdr:col>15</xdr:col>
      <xdr:colOff>138953</xdr:colOff>
      <xdr:row>36</xdr:row>
      <xdr:rowOff>156322</xdr:rowOff>
    </xdr:from>
    <xdr:ext cx="1583453" cy="685799"/>
    <xdr:pic>
      <xdr:nvPicPr>
        <xdr:cNvPr id="6" name="Imagem 1">
          <a:extLst>
            <a:ext uri="{FF2B5EF4-FFF2-40B4-BE49-F238E27FC236}">
              <a16:creationId xmlns:a16="http://schemas.microsoft.com/office/drawing/2014/main" id="{3E36BC2C-6DA7-4C6E-A0E3-4CBDF7682316}"/>
            </a:ext>
          </a:extLst>
        </xdr:cNvPr>
        <xdr:cNvPicPr>
          <a:picLocks noChangeAspect="1"/>
        </xdr:cNvPicPr>
      </xdr:nvPicPr>
      <xdr:blipFill>
        <a:blip xmlns:r="http://schemas.openxmlformats.org/officeDocument/2006/relationships" r:embed="rId1"/>
        <a:stretch>
          <a:fillRect/>
        </a:stretch>
      </xdr:blipFill>
      <xdr:spPr>
        <a:xfrm>
          <a:off x="15143629" y="7630646"/>
          <a:ext cx="1583453" cy="685799"/>
        </a:xfrm>
        <a:prstGeom prst="rect">
          <a:avLst/>
        </a:prstGeom>
      </xdr:spPr>
    </xdr:pic>
    <xdr:clientData/>
  </xdr:oneCellAnchor>
  <xdr:oneCellAnchor>
    <xdr:from>
      <xdr:col>15</xdr:col>
      <xdr:colOff>1513355</xdr:colOff>
      <xdr:row>34</xdr:row>
      <xdr:rowOff>19611</xdr:rowOff>
    </xdr:from>
    <xdr:ext cx="2080947" cy="876300"/>
    <xdr:pic>
      <xdr:nvPicPr>
        <xdr:cNvPr id="7" name="Imagem 2">
          <a:extLst>
            <a:ext uri="{FF2B5EF4-FFF2-40B4-BE49-F238E27FC236}">
              <a16:creationId xmlns:a16="http://schemas.microsoft.com/office/drawing/2014/main" id="{63B0AD88-5A4E-46E2-9EAE-95FCBFDA21BD}"/>
            </a:ext>
          </a:extLst>
        </xdr:cNvPr>
        <xdr:cNvPicPr>
          <a:picLocks noChangeAspect="1"/>
        </xdr:cNvPicPr>
      </xdr:nvPicPr>
      <xdr:blipFill>
        <a:blip xmlns:r="http://schemas.openxmlformats.org/officeDocument/2006/relationships" r:embed="rId2"/>
        <a:stretch>
          <a:fillRect/>
        </a:stretch>
      </xdr:blipFill>
      <xdr:spPr>
        <a:xfrm>
          <a:off x="16518031" y="7079317"/>
          <a:ext cx="2080947" cy="876300"/>
        </a:xfrm>
        <a:prstGeom prst="rect">
          <a:avLst/>
        </a:prstGeom>
      </xdr:spPr>
    </xdr:pic>
    <xdr:clientData/>
  </xdr:oneCellAnchor>
</xdr:wsDr>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corporate.vanguard.com/content/corporatesite/us/en/corp/who-we-are/pressroom/press-release-vanguard-releases-2024-economic-and-market-outlook-12122023.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A94C3-D09A-431C-BBB4-B6CD96ADC412}">
  <dimension ref="A1:AA145"/>
  <sheetViews>
    <sheetView showGridLines="0" zoomScaleNormal="100" workbookViewId="0">
      <selection activeCell="A24" sqref="A24"/>
    </sheetView>
  </sheetViews>
  <sheetFormatPr defaultRowHeight="15"/>
  <cols>
    <col min="1" max="1" width="59.7109375" bestFit="1" customWidth="1"/>
    <col min="2" max="2" width="39.7109375" customWidth="1"/>
    <col min="3" max="3" width="14.85546875" customWidth="1"/>
    <col min="4" max="4" width="12.5703125" bestFit="1" customWidth="1"/>
    <col min="5" max="5" width="16" customWidth="1"/>
    <col min="6" max="6" width="35" bestFit="1" customWidth="1"/>
    <col min="7" max="7" width="14.42578125" customWidth="1"/>
    <col min="8" max="8" width="10" customWidth="1"/>
    <col min="9" max="9" width="35" bestFit="1" customWidth="1"/>
    <col min="10" max="10" width="12.7109375" customWidth="1"/>
    <col min="11" max="11" width="13.42578125" customWidth="1"/>
    <col min="15" max="15" width="17.42578125" bestFit="1" customWidth="1"/>
    <col min="16" max="16" width="16" bestFit="1" customWidth="1"/>
    <col min="17" max="17" width="17.5703125" customWidth="1"/>
    <col min="19" max="19" width="11.42578125" customWidth="1"/>
    <col min="20" max="20" width="14.85546875" bestFit="1" customWidth="1"/>
  </cols>
  <sheetData>
    <row r="1" spans="1:27">
      <c r="A1" t="s">
        <v>215</v>
      </c>
    </row>
    <row r="3" spans="1:27">
      <c r="D3" s="13"/>
    </row>
    <row r="4" spans="1:27">
      <c r="A4" t="s">
        <v>11</v>
      </c>
      <c r="B4" t="s">
        <v>12</v>
      </c>
      <c r="C4" t="s">
        <v>0</v>
      </c>
    </row>
    <row r="5" spans="1:27" ht="15.75" thickBot="1"/>
    <row r="6" spans="1:27" ht="15.75" thickBot="1">
      <c r="A6" s="98" t="s">
        <v>246</v>
      </c>
      <c r="B6" s="99"/>
      <c r="C6" s="97"/>
      <c r="N6" t="s">
        <v>22</v>
      </c>
    </row>
    <row r="7" spans="1:27" ht="15.75">
      <c r="A7" s="1" t="s">
        <v>121</v>
      </c>
      <c r="B7" s="1"/>
      <c r="C7" s="1"/>
    </row>
    <row r="8" spans="1:27">
      <c r="N8" s="27" t="s">
        <v>97</v>
      </c>
    </row>
    <row r="9" spans="1:27">
      <c r="C9" s="2"/>
      <c r="N9" s="27"/>
    </row>
    <row r="10" spans="1:27">
      <c r="A10" t="s">
        <v>15</v>
      </c>
      <c r="C10" s="6">
        <v>45413</v>
      </c>
      <c r="N10" s="27" t="s">
        <v>98</v>
      </c>
      <c r="T10" s="21">
        <f>150000+135000+50000+T5</f>
        <v>335000</v>
      </c>
      <c r="U10" s="80" t="s">
        <v>245</v>
      </c>
      <c r="V10" s="80"/>
      <c r="W10" s="80"/>
      <c r="X10" s="80"/>
      <c r="Y10" s="80"/>
      <c r="Z10" s="80"/>
      <c r="AA10" s="80"/>
    </row>
    <row r="11" spans="1:27">
      <c r="A11" t="s">
        <v>13</v>
      </c>
      <c r="C11">
        <v>20</v>
      </c>
      <c r="N11" s="27" t="s">
        <v>99</v>
      </c>
      <c r="T11" s="21">
        <v>56000</v>
      </c>
    </row>
    <row r="12" spans="1:27">
      <c r="A12" t="s">
        <v>14</v>
      </c>
      <c r="C12" s="7">
        <v>0</v>
      </c>
      <c r="N12" s="27" t="s">
        <v>100</v>
      </c>
      <c r="T12" s="29">
        <f>T11/T10</f>
        <v>0.16716417910447762</v>
      </c>
    </row>
    <row r="13" spans="1:27">
      <c r="A13" t="s">
        <v>16</v>
      </c>
      <c r="C13" s="8">
        <f>Wealth!C23</f>
        <v>280000</v>
      </c>
      <c r="N13" s="27" t="s">
        <v>234</v>
      </c>
      <c r="T13" s="17">
        <v>0.03</v>
      </c>
    </row>
    <row r="14" spans="1:27">
      <c r="A14" t="s">
        <v>21</v>
      </c>
      <c r="C14" s="8">
        <f>('Risk Management'!D36+'Risk Management'!O36)*0.3</f>
        <v>24000</v>
      </c>
      <c r="N14" s="27" t="s">
        <v>101</v>
      </c>
      <c r="T14" s="17">
        <f>T12+T13</f>
        <v>0.19716417910447762</v>
      </c>
    </row>
    <row r="15" spans="1:27">
      <c r="A15" t="s">
        <v>20</v>
      </c>
      <c r="C15" s="7">
        <v>1</v>
      </c>
      <c r="N15" s="27"/>
    </row>
    <row r="16" spans="1:27">
      <c r="A16" t="s">
        <v>2</v>
      </c>
      <c r="C16" s="9">
        <v>0.06</v>
      </c>
      <c r="N16" s="27" t="s">
        <v>221</v>
      </c>
      <c r="T16" s="17">
        <v>0.28000000000000003</v>
      </c>
    </row>
    <row r="17" spans="1:23">
      <c r="A17" t="s">
        <v>23</v>
      </c>
      <c r="C17" s="9">
        <v>0.28000000000000003</v>
      </c>
      <c r="N17" s="27" t="s">
        <v>102</v>
      </c>
      <c r="T17" s="21">
        <f>T11/(1-T16)</f>
        <v>77777.777777777781</v>
      </c>
    </row>
    <row r="18" spans="1:23">
      <c r="A18" t="s">
        <v>94</v>
      </c>
      <c r="C18" s="9">
        <v>0.01</v>
      </c>
      <c r="N18" s="27" t="s">
        <v>103</v>
      </c>
      <c r="T18" s="19">
        <f>T17/T10</f>
        <v>0.23217247097844113</v>
      </c>
    </row>
    <row r="19" spans="1:23">
      <c r="A19" s="14" t="s">
        <v>233</v>
      </c>
      <c r="C19" s="8">
        <f>'Risk Management'!E184</f>
        <v>1003687.2684782429</v>
      </c>
      <c r="N19" s="27" t="s">
        <v>104</v>
      </c>
      <c r="T19" s="19">
        <f>T18+T13</f>
        <v>0.2621724709784411</v>
      </c>
      <c r="W19" s="19"/>
    </row>
    <row r="20" spans="1:23">
      <c r="A20" t="s">
        <v>3</v>
      </c>
      <c r="C20" s="9">
        <v>0.03</v>
      </c>
      <c r="N20" s="27"/>
    </row>
    <row r="21" spans="1:23">
      <c r="N21" s="28" t="s">
        <v>105</v>
      </c>
    </row>
    <row r="22" spans="1:23">
      <c r="A22" t="s">
        <v>118</v>
      </c>
      <c r="C22" s="26">
        <f>RATE(C11,-C14,-C13,C19,1)</f>
        <v>1.9508594564030837E-2</v>
      </c>
      <c r="N22" s="27" t="s">
        <v>106</v>
      </c>
    </row>
    <row r="23" spans="1:23">
      <c r="A23" t="s">
        <v>180</v>
      </c>
      <c r="C23" s="26">
        <f>(1+C22)*(1+C18)-1</f>
        <v>2.9703680509671093E-2</v>
      </c>
      <c r="N23" s="27"/>
    </row>
    <row r="24" spans="1:23">
      <c r="A24" t="s">
        <v>175</v>
      </c>
      <c r="C24" s="26">
        <f>(1+C23)*(1+C20)-1</f>
        <v>6.0594790924961339E-2</v>
      </c>
      <c r="D24" s="20"/>
      <c r="E24" s="22"/>
      <c r="N24" s="27" t="s">
        <v>107</v>
      </c>
    </row>
    <row r="25" spans="1:23">
      <c r="A25" t="s">
        <v>119</v>
      </c>
      <c r="C25" s="26">
        <f>(1+C26)/(1+C20)-1</f>
        <v>5.2581972660411758E-2</v>
      </c>
      <c r="D25" s="20"/>
      <c r="N25" s="27" t="s">
        <v>108</v>
      </c>
    </row>
    <row r="26" spans="1:23">
      <c r="A26" t="s">
        <v>120</v>
      </c>
      <c r="C26" s="26">
        <f>C24/(1-C17)</f>
        <v>8.4159431840224092E-2</v>
      </c>
      <c r="N26" s="27" t="s">
        <v>109</v>
      </c>
    </row>
    <row r="27" spans="1:23">
      <c r="A27" t="s">
        <v>4</v>
      </c>
      <c r="C27" s="10">
        <f>FV(C26,C11,-C14,-C13,1)</f>
        <v>2656381.4358438998</v>
      </c>
      <c r="N27" s="27" t="s">
        <v>110</v>
      </c>
    </row>
    <row r="28" spans="1:23">
      <c r="A28" t="s">
        <v>5</v>
      </c>
      <c r="C28" s="10">
        <f>FV(C24,C11,-C14,-C13,1)</f>
        <v>1850489.1946623977</v>
      </c>
      <c r="N28" s="27" t="s">
        <v>111</v>
      </c>
    </row>
    <row r="29" spans="1:23">
      <c r="A29" t="s">
        <v>122</v>
      </c>
      <c r="C29" s="10">
        <f>FV(C22,C11,-C14,-C13,1)</f>
        <v>1003687.2684782399</v>
      </c>
      <c r="E29" t="s">
        <v>182</v>
      </c>
      <c r="N29" s="27" t="s">
        <v>112</v>
      </c>
    </row>
    <row r="30" spans="1:23">
      <c r="A30" t="s">
        <v>123</v>
      </c>
      <c r="C30" s="10">
        <f>FV(C22/(1-C17),C11,-C14,-C13,1)</f>
        <v>1121074.212217995</v>
      </c>
      <c r="E30" s="45"/>
      <c r="N30" s="27"/>
    </row>
    <row r="31" spans="1:23">
      <c r="E31" s="46" t="s">
        <v>181</v>
      </c>
      <c r="N31" s="27" t="s">
        <v>214</v>
      </c>
    </row>
    <row r="32" spans="1:23">
      <c r="A32" s="56"/>
      <c r="B32" s="76"/>
      <c r="C32" s="76"/>
      <c r="L32" s="19">
        <f>RATE(10,5000,-100000,150000)</f>
        <v>8.3883443620331316E-2</v>
      </c>
      <c r="N32" s="27" t="s">
        <v>113</v>
      </c>
    </row>
    <row r="33" spans="1:21">
      <c r="A33" s="77"/>
      <c r="B33" s="78"/>
      <c r="C33" s="79"/>
      <c r="N33" s="27" t="s">
        <v>114</v>
      </c>
    </row>
    <row r="34" spans="1:21">
      <c r="A34" s="77"/>
      <c r="B34" s="78"/>
      <c r="C34" s="79"/>
      <c r="N34" s="27" t="s">
        <v>115</v>
      </c>
    </row>
    <row r="35" spans="1:21">
      <c r="A35" s="77"/>
      <c r="B35" s="78"/>
      <c r="C35" s="56"/>
      <c r="N35" s="27" t="s">
        <v>116</v>
      </c>
    </row>
    <row r="36" spans="1:21">
      <c r="A36" s="77"/>
      <c r="B36" s="78"/>
      <c r="C36" s="56"/>
      <c r="N36" s="27"/>
    </row>
    <row r="37" spans="1:21">
      <c r="N37" s="27" t="s">
        <v>117</v>
      </c>
    </row>
    <row r="39" spans="1:21" ht="16.5" thickBot="1">
      <c r="A39" s="1" t="s">
        <v>161</v>
      </c>
      <c r="B39" s="1"/>
      <c r="C39" s="1"/>
    </row>
    <row r="40" spans="1:21" ht="15.75" thickBot="1">
      <c r="E40" t="s">
        <v>202</v>
      </c>
      <c r="F40" s="19">
        <v>2E-3</v>
      </c>
      <c r="I40" s="81" t="s">
        <v>222</v>
      </c>
      <c r="J40" s="82"/>
      <c r="K40" s="83">
        <v>20</v>
      </c>
    </row>
    <row r="41" spans="1:21">
      <c r="E41" t="s">
        <v>203</v>
      </c>
      <c r="F41" s="19">
        <v>1E-3</v>
      </c>
      <c r="I41" s="84" t="s">
        <v>165</v>
      </c>
      <c r="J41" s="7"/>
      <c r="K41" s="85" t="e">
        <f>#REF!</f>
        <v>#REF!</v>
      </c>
      <c r="N41" s="92" t="s">
        <v>284</v>
      </c>
      <c r="O41" s="92" t="s">
        <v>237</v>
      </c>
      <c r="P41" s="92" t="s">
        <v>238</v>
      </c>
      <c r="Q41" s="92" t="s">
        <v>239</v>
      </c>
      <c r="R41" s="92" t="s">
        <v>240</v>
      </c>
      <c r="S41" s="92" t="s">
        <v>242</v>
      </c>
      <c r="T41" s="92" t="s">
        <v>243</v>
      </c>
    </row>
    <row r="42" spans="1:21">
      <c r="A42" t="s">
        <v>179</v>
      </c>
      <c r="C42" s="8">
        <f>Wealth!C19</f>
        <v>111000</v>
      </c>
      <c r="F42" s="19">
        <f>F40+F41</f>
        <v>3.0000000000000001E-3</v>
      </c>
      <c r="I42" s="84"/>
      <c r="J42" s="7"/>
      <c r="K42" s="85" t="e">
        <f>K40*K41</f>
        <v>#REF!</v>
      </c>
      <c r="M42" t="s">
        <v>235</v>
      </c>
      <c r="N42" s="93">
        <f>35</f>
        <v>35</v>
      </c>
      <c r="O42" s="93">
        <f>N42+20</f>
        <v>55</v>
      </c>
      <c r="P42" s="93">
        <v>83</v>
      </c>
      <c r="Q42" s="93">
        <v>10</v>
      </c>
      <c r="R42" s="93">
        <f>P42+Q42</f>
        <v>93</v>
      </c>
      <c r="S42" s="93">
        <f>R42-N42</f>
        <v>58</v>
      </c>
      <c r="T42" s="93">
        <f>R42-O42</f>
        <v>38</v>
      </c>
    </row>
    <row r="43" spans="1:21" ht="15.75" thickBot="1">
      <c r="A43" t="s">
        <v>162</v>
      </c>
      <c r="C43" s="8">
        <v>40000</v>
      </c>
      <c r="E43" t="s">
        <v>57</v>
      </c>
      <c r="F43" s="17">
        <v>0.23</v>
      </c>
      <c r="I43" s="84" t="s">
        <v>90</v>
      </c>
      <c r="J43" s="7"/>
      <c r="K43" s="86">
        <f>C20</f>
        <v>0.03</v>
      </c>
      <c r="M43" t="s">
        <v>236</v>
      </c>
      <c r="N43" s="94">
        <f>37</f>
        <v>37</v>
      </c>
      <c r="O43" s="94">
        <f>N43+20</f>
        <v>57</v>
      </c>
      <c r="P43" s="94">
        <v>78</v>
      </c>
      <c r="Q43" s="94">
        <v>9</v>
      </c>
      <c r="R43" s="94">
        <f>P43+Q43</f>
        <v>87</v>
      </c>
      <c r="S43" s="94">
        <f>R43-N43</f>
        <v>50</v>
      </c>
      <c r="T43" s="94">
        <f>R43-O43</f>
        <v>30</v>
      </c>
    </row>
    <row r="44" spans="1:21" ht="15.75" thickBot="1">
      <c r="A44" t="s">
        <v>200</v>
      </c>
      <c r="B44" s="20">
        <f>+F44</f>
        <v>3.6900000000000001E-3</v>
      </c>
      <c r="C44" s="8">
        <f>B44*C42</f>
        <v>409.59000000000003</v>
      </c>
      <c r="F44" s="19">
        <f>F42*(1+F43)</f>
        <v>3.6900000000000001E-3</v>
      </c>
      <c r="I44" s="84"/>
      <c r="J44" s="7"/>
      <c r="K44" s="102" t="e">
        <f>FV(K43,K40,-K41,0)</f>
        <v>#REF!</v>
      </c>
      <c r="T44">
        <f>SUM(T42:T43)/2</f>
        <v>34</v>
      </c>
      <c r="U44" t="s">
        <v>254</v>
      </c>
    </row>
    <row r="45" spans="1:21">
      <c r="A45" t="s">
        <v>164</v>
      </c>
      <c r="C45" s="45">
        <f>C43+C44</f>
        <v>40409.589999999997</v>
      </c>
      <c r="I45" s="84" t="s">
        <v>184</v>
      </c>
      <c r="J45" s="7"/>
      <c r="K45" s="87">
        <v>0.04</v>
      </c>
    </row>
    <row r="46" spans="1:21">
      <c r="C46" s="45"/>
      <c r="I46" s="84" t="s">
        <v>223</v>
      </c>
      <c r="J46" s="7"/>
      <c r="K46" s="88">
        <f>1/K45*1</f>
        <v>25</v>
      </c>
    </row>
    <row r="47" spans="1:21" ht="15.75" thickBot="1">
      <c r="A47" t="s">
        <v>174</v>
      </c>
      <c r="C47" s="24">
        <f>C45/C42</f>
        <v>0.36405036036036031</v>
      </c>
      <c r="D47" s="45"/>
      <c r="I47" s="89" t="s">
        <v>224</v>
      </c>
      <c r="J47" s="90"/>
      <c r="K47" s="91" t="e">
        <f>K46*K41</f>
        <v>#REF!</v>
      </c>
      <c r="R47" t="s">
        <v>235</v>
      </c>
      <c r="T47" t="s">
        <v>236</v>
      </c>
    </row>
    <row r="48" spans="1:21" ht="15.75" thickBot="1">
      <c r="A48" t="s">
        <v>3</v>
      </c>
      <c r="C48" s="9">
        <v>0.03</v>
      </c>
      <c r="Q48" s="92" t="s">
        <v>241</v>
      </c>
      <c r="R48" s="93">
        <f>35</f>
        <v>35</v>
      </c>
      <c r="T48" s="94">
        <f>37</f>
        <v>37</v>
      </c>
    </row>
    <row r="49" spans="1:20" ht="15.75" thickBot="1">
      <c r="A49" t="s">
        <v>175</v>
      </c>
      <c r="C49" s="19">
        <f>(1+C47)*(1+C48)-1</f>
        <v>0.40497187117117117</v>
      </c>
      <c r="H49" t="s">
        <v>168</v>
      </c>
      <c r="Q49" s="92" t="s">
        <v>237</v>
      </c>
      <c r="R49" s="93">
        <f>R48+20</f>
        <v>55</v>
      </c>
      <c r="T49" s="94">
        <f>T48+20</f>
        <v>57</v>
      </c>
    </row>
    <row r="50" spans="1:20" ht="15.75" thickBot="1">
      <c r="H50" t="s">
        <v>169</v>
      </c>
      <c r="K50" s="19">
        <v>7.0900000000000005E-2</v>
      </c>
      <c r="Q50" s="92" t="s">
        <v>238</v>
      </c>
      <c r="R50" s="93">
        <v>83</v>
      </c>
      <c r="T50" s="94">
        <v>78</v>
      </c>
    </row>
    <row r="51" spans="1:20" ht="15.75" thickBot="1">
      <c r="A51" s="14" t="s">
        <v>163</v>
      </c>
      <c r="D51" s="45"/>
      <c r="E51" s="45"/>
      <c r="H51" t="s">
        <v>170</v>
      </c>
      <c r="K51" s="19">
        <v>0.03</v>
      </c>
      <c r="Q51" s="92" t="s">
        <v>239</v>
      </c>
      <c r="R51" s="93">
        <v>10</v>
      </c>
      <c r="T51" s="94">
        <v>9</v>
      </c>
    </row>
    <row r="52" spans="1:20" ht="15.75" thickBot="1">
      <c r="A52" t="s">
        <v>23</v>
      </c>
      <c r="C52" s="9">
        <v>0.28000000000000003</v>
      </c>
      <c r="H52" t="s">
        <v>171</v>
      </c>
      <c r="K52" s="19">
        <f>(1+K50)/(1+K51)-1</f>
        <v>3.9708737864077692E-2</v>
      </c>
      <c r="Q52" s="92" t="s">
        <v>240</v>
      </c>
      <c r="R52" s="93">
        <f>R50+R51</f>
        <v>93</v>
      </c>
      <c r="T52" s="94">
        <f>T50+T51</f>
        <v>87</v>
      </c>
    </row>
    <row r="53" spans="1:20" ht="15.75" thickBot="1">
      <c r="A53" t="s">
        <v>166</v>
      </c>
      <c r="C53" s="45">
        <f>C45/(1-C52)</f>
        <v>56124.430555555555</v>
      </c>
      <c r="E53" s="45"/>
      <c r="H53" t="s">
        <v>172</v>
      </c>
      <c r="K53" s="19">
        <f>L53*K50</f>
        <v>1.9852000000000002E-2</v>
      </c>
      <c r="L53" s="47">
        <v>0.28000000000000003</v>
      </c>
      <c r="Q53" s="92" t="s">
        <v>242</v>
      </c>
      <c r="R53" s="93">
        <f>R52-R48</f>
        <v>58</v>
      </c>
      <c r="T53" s="94">
        <f>T52-T48</f>
        <v>50</v>
      </c>
    </row>
    <row r="54" spans="1:20" ht="15.75" thickBot="1">
      <c r="A54" t="s">
        <v>94</v>
      </c>
      <c r="C54" s="45">
        <f>C44</f>
        <v>409.59000000000003</v>
      </c>
      <c r="E54" s="45"/>
      <c r="H54" t="s">
        <v>173</v>
      </c>
      <c r="K54" s="19">
        <f>K52-K53</f>
        <v>1.9856737864077691E-2</v>
      </c>
      <c r="Q54" s="92" t="s">
        <v>243</v>
      </c>
      <c r="R54" s="93">
        <f>R52-R49</f>
        <v>38</v>
      </c>
      <c r="T54" s="94">
        <f>T52-T49</f>
        <v>30</v>
      </c>
    </row>
    <row r="55" spans="1:20">
      <c r="A55" t="s">
        <v>167</v>
      </c>
      <c r="C55" s="45">
        <f>C53+C54</f>
        <v>56534.020555555551</v>
      </c>
      <c r="K55" s="19">
        <f>K50-K53</f>
        <v>5.1048000000000003E-2</v>
      </c>
    </row>
    <row r="56" spans="1:20">
      <c r="C56" s="45"/>
      <c r="K56" s="47"/>
    </row>
    <row r="57" spans="1:20">
      <c r="C57" s="24">
        <f>C55/C42</f>
        <v>0.50931550050050045</v>
      </c>
      <c r="E57" s="45"/>
      <c r="F57" s="45"/>
      <c r="K57" s="47"/>
    </row>
    <row r="58" spans="1:20">
      <c r="C58" s="45"/>
      <c r="D58" s="45"/>
      <c r="E58" s="45"/>
      <c r="F58" s="19"/>
      <c r="H58" t="s">
        <v>178</v>
      </c>
      <c r="K58" s="47"/>
    </row>
    <row r="59" spans="1:20">
      <c r="A59" t="s">
        <v>119</v>
      </c>
      <c r="C59" s="24">
        <f>(1+C60)/(1+C48)-1</f>
        <v>0.51695236134192446</v>
      </c>
      <c r="D59" s="45"/>
      <c r="E59" s="45"/>
      <c r="H59" t="s">
        <v>176</v>
      </c>
      <c r="K59" s="19">
        <f>K50</f>
        <v>7.0900000000000005E-2</v>
      </c>
    </row>
    <row r="60" spans="1:20">
      <c r="A60" t="s">
        <v>120</v>
      </c>
      <c r="C60" s="24">
        <f>C49/(1-C52)</f>
        <v>0.56246093218218218</v>
      </c>
      <c r="D60" s="45"/>
      <c r="E60" s="45"/>
      <c r="H60" t="s">
        <v>177</v>
      </c>
      <c r="K60" s="19">
        <f>K59*(1-L60)</f>
        <v>5.1048000000000003E-2</v>
      </c>
      <c r="L60" s="47">
        <v>0.28000000000000003</v>
      </c>
    </row>
    <row r="61" spans="1:20">
      <c r="K61" s="19">
        <f>(1+K60)/(1+K51)-1</f>
        <v>2.043495145631069E-2</v>
      </c>
    </row>
    <row r="62" spans="1:20">
      <c r="C62" s="45"/>
    </row>
    <row r="63" spans="1:20">
      <c r="C63" s="45"/>
    </row>
    <row r="64" spans="1:20">
      <c r="A64" s="48" t="s">
        <v>17</v>
      </c>
    </row>
    <row r="66" spans="1:7">
      <c r="A66" s="11" t="s">
        <v>18</v>
      </c>
      <c r="B66" s="101">
        <f>C19</f>
        <v>1003687.2684782429</v>
      </c>
    </row>
    <row r="67" spans="1:7">
      <c r="A67" s="11" t="s">
        <v>19</v>
      </c>
      <c r="B67" s="12" t="s">
        <v>248</v>
      </c>
    </row>
    <row r="68" spans="1:7">
      <c r="A68" s="11" t="s">
        <v>25</v>
      </c>
      <c r="B68" s="100">
        <f>2024+20</f>
        <v>2044</v>
      </c>
      <c r="F68" s="17"/>
    </row>
    <row r="69" spans="1:7">
      <c r="A69" s="11" t="s">
        <v>26</v>
      </c>
      <c r="B69" s="12" t="s">
        <v>247</v>
      </c>
      <c r="F69" s="46"/>
    </row>
    <row r="70" spans="1:7">
      <c r="F70" s="46"/>
      <c r="G70" s="46"/>
    </row>
    <row r="71" spans="1:7">
      <c r="A71" s="48" t="s">
        <v>183</v>
      </c>
    </row>
    <row r="73" spans="1:7">
      <c r="E73" s="46"/>
    </row>
    <row r="75" spans="1:7">
      <c r="A75" s="48" t="s">
        <v>185</v>
      </c>
      <c r="B75">
        <v>2024</v>
      </c>
    </row>
    <row r="76" spans="1:7">
      <c r="A76" t="s">
        <v>186</v>
      </c>
      <c r="B76">
        <v>20</v>
      </c>
    </row>
    <row r="77" spans="1:7">
      <c r="A77" t="s">
        <v>187</v>
      </c>
      <c r="B77">
        <v>34</v>
      </c>
      <c r="E77" s="45"/>
    </row>
    <row r="78" spans="1:7" ht="30">
      <c r="A78" s="49" t="s">
        <v>188</v>
      </c>
      <c r="B78" s="19">
        <v>0.06</v>
      </c>
      <c r="E78" s="80"/>
      <c r="F78" s="80"/>
      <c r="G78" s="80"/>
    </row>
    <row r="79" spans="1:7">
      <c r="A79" t="s">
        <v>189</v>
      </c>
      <c r="B79" s="19">
        <v>0.03</v>
      </c>
      <c r="D79" s="80"/>
    </row>
    <row r="80" spans="1:7">
      <c r="A80" t="s">
        <v>190</v>
      </c>
      <c r="B80" s="45">
        <f>C27</f>
        <v>2656381.4358438998</v>
      </c>
      <c r="C80" s="80" t="s">
        <v>244</v>
      </c>
    </row>
    <row r="81" spans="1:11">
      <c r="A81" t="s">
        <v>191</v>
      </c>
      <c r="B81" s="19">
        <v>0.04</v>
      </c>
    </row>
    <row r="82" spans="1:11">
      <c r="A82" s="50" t="s">
        <v>192</v>
      </c>
      <c r="B82" t="s">
        <v>195</v>
      </c>
    </row>
    <row r="83" spans="1:11">
      <c r="A83" s="50" t="s">
        <v>193</v>
      </c>
      <c r="B83" t="s">
        <v>196</v>
      </c>
    </row>
    <row r="84" spans="1:11">
      <c r="A84" s="50" t="s">
        <v>194</v>
      </c>
      <c r="B84" t="s">
        <v>197</v>
      </c>
    </row>
    <row r="86" spans="1:11">
      <c r="A86" t="s">
        <v>198</v>
      </c>
    </row>
    <row r="87" spans="1:11" ht="60">
      <c r="A87" t="s">
        <v>199</v>
      </c>
      <c r="E87" s="51" t="s">
        <v>226</v>
      </c>
      <c r="F87" s="51" t="s">
        <v>227</v>
      </c>
      <c r="G87" s="51" t="s">
        <v>229</v>
      </c>
    </row>
    <row r="88" spans="1:11" ht="54.75" customHeight="1">
      <c r="B88" s="51" t="s">
        <v>81</v>
      </c>
      <c r="C88" s="51" t="s">
        <v>228</v>
      </c>
      <c r="D88" s="51" t="s">
        <v>225</v>
      </c>
      <c r="E88" s="45">
        <f t="shared" ref="E88:E129" si="0">D89/(1+$B$79)^K89</f>
        <v>58830.959795898023</v>
      </c>
      <c r="F88" s="45">
        <f t="shared" ref="F88:F129" si="1">(C89-D89)*$B$78</f>
        <v>153007.57070460863</v>
      </c>
      <c r="G88" s="45">
        <f t="shared" ref="G88:G129" si="2">C89+F88-D89</f>
        <v>2703133.7491147527</v>
      </c>
      <c r="K88" s="49" t="s">
        <v>230</v>
      </c>
    </row>
    <row r="89" spans="1:11">
      <c r="B89">
        <f>B75+B76</f>
        <v>2044</v>
      </c>
      <c r="C89" s="45">
        <f>B80</f>
        <v>2656381.4358438998</v>
      </c>
      <c r="D89" s="45">
        <f>C89*$B$81</f>
        <v>106255.25743375599</v>
      </c>
      <c r="E89" s="45">
        <f t="shared" si="0"/>
        <v>58830.959795898038</v>
      </c>
      <c r="F89" s="45">
        <f t="shared" si="1"/>
        <v>155621.45003747905</v>
      </c>
      <c r="G89" s="45">
        <f t="shared" si="2"/>
        <v>2749312.283995463</v>
      </c>
      <c r="I89" s="45"/>
      <c r="K89">
        <f>B76</f>
        <v>20</v>
      </c>
    </row>
    <row r="90" spans="1:11">
      <c r="B90">
        <f t="shared" ref="B90:B117" si="3">B89+1</f>
        <v>2045</v>
      </c>
      <c r="C90" s="45">
        <f t="shared" ref="C90:C117" si="4">G88</f>
        <v>2703133.7491147527</v>
      </c>
      <c r="D90" s="45">
        <f t="shared" ref="D90:D130" si="5">D89*(1+$B$79)</f>
        <v>109442.91515676868</v>
      </c>
      <c r="E90" s="45">
        <f t="shared" si="0"/>
        <v>58830.95979589803</v>
      </c>
      <c r="F90" s="45">
        <f t="shared" si="1"/>
        <v>158195.16488303948</v>
      </c>
      <c r="G90" s="45">
        <f t="shared" si="2"/>
        <v>2794781.2462670309</v>
      </c>
      <c r="K90">
        <f>K89+1</f>
        <v>21</v>
      </c>
    </row>
    <row r="91" spans="1:11">
      <c r="B91">
        <f t="shared" si="3"/>
        <v>2046</v>
      </c>
      <c r="C91" s="45">
        <f t="shared" si="4"/>
        <v>2749312.283995463</v>
      </c>
      <c r="D91" s="45">
        <f t="shared" si="5"/>
        <v>112726.20261147174</v>
      </c>
      <c r="E91" s="45">
        <f t="shared" si="0"/>
        <v>58830.95979589803</v>
      </c>
      <c r="F91" s="45">
        <f t="shared" si="1"/>
        <v>160720.39545463288</v>
      </c>
      <c r="G91" s="45">
        <f t="shared" si="2"/>
        <v>2839393.6530318479</v>
      </c>
      <c r="K91">
        <f>K90+1</f>
        <v>22</v>
      </c>
    </row>
    <row r="92" spans="1:11">
      <c r="B92">
        <f t="shared" si="3"/>
        <v>2047</v>
      </c>
      <c r="C92" s="45">
        <f t="shared" si="4"/>
        <v>2794781.2462670309</v>
      </c>
      <c r="D92" s="45">
        <f t="shared" si="5"/>
        <v>116107.9886898159</v>
      </c>
      <c r="E92" s="45">
        <f t="shared" si="0"/>
        <v>58830.959795898045</v>
      </c>
      <c r="F92" s="45">
        <f t="shared" si="1"/>
        <v>163188.14548088025</v>
      </c>
      <c r="G92" s="45">
        <f t="shared" si="2"/>
        <v>2882990.5701622176</v>
      </c>
      <c r="K92">
        <f t="shared" ref="K92:K134" si="6">K91+1</f>
        <v>23</v>
      </c>
    </row>
    <row r="93" spans="1:11">
      <c r="B93">
        <f t="shared" si="3"/>
        <v>2048</v>
      </c>
      <c r="C93" s="45">
        <f t="shared" si="4"/>
        <v>2839393.6530318479</v>
      </c>
      <c r="D93" s="45">
        <f t="shared" si="5"/>
        <v>119591.22835051038</v>
      </c>
      <c r="E93" s="45">
        <f t="shared" si="0"/>
        <v>58830.959795898045</v>
      </c>
      <c r="F93" s="45">
        <f t="shared" si="1"/>
        <v>165588.6962976715</v>
      </c>
      <c r="G93" s="45">
        <f t="shared" si="2"/>
        <v>2925400.3012588634</v>
      </c>
      <c r="K93">
        <f t="shared" si="6"/>
        <v>24</v>
      </c>
    </row>
    <row r="94" spans="1:11">
      <c r="B94">
        <f t="shared" si="3"/>
        <v>2049</v>
      </c>
      <c r="C94" s="45">
        <f t="shared" si="4"/>
        <v>2882990.5701622176</v>
      </c>
      <c r="D94" s="45">
        <f t="shared" si="5"/>
        <v>123178.9652010257</v>
      </c>
      <c r="E94" s="45">
        <f t="shared" si="0"/>
        <v>58830.959795898038</v>
      </c>
      <c r="F94" s="45">
        <f t="shared" si="1"/>
        <v>167911.5580261084</v>
      </c>
      <c r="G94" s="45">
        <f t="shared" si="2"/>
        <v>2966437.5251279152</v>
      </c>
      <c r="K94">
        <f t="shared" si="6"/>
        <v>25</v>
      </c>
    </row>
    <row r="95" spans="1:11">
      <c r="B95">
        <f t="shared" si="3"/>
        <v>2050</v>
      </c>
      <c r="C95" s="45">
        <f t="shared" si="4"/>
        <v>2925400.3012588634</v>
      </c>
      <c r="D95" s="45">
        <f t="shared" si="5"/>
        <v>126874.33415705647</v>
      </c>
      <c r="E95" s="45">
        <f t="shared" si="0"/>
        <v>58830.959795898045</v>
      </c>
      <c r="F95" s="45">
        <f t="shared" si="1"/>
        <v>170145.41765676881</v>
      </c>
      <c r="G95" s="45">
        <f t="shared" si="2"/>
        <v>3005902.3786029154</v>
      </c>
      <c r="K95">
        <f t="shared" si="6"/>
        <v>26</v>
      </c>
    </row>
    <row r="96" spans="1:11">
      <c r="B96">
        <f t="shared" si="3"/>
        <v>2051</v>
      </c>
      <c r="C96" s="45">
        <f t="shared" si="4"/>
        <v>2966437.5251279152</v>
      </c>
      <c r="D96" s="45">
        <f t="shared" si="5"/>
        <v>130680.56418176816</v>
      </c>
      <c r="E96" s="45">
        <f t="shared" si="0"/>
        <v>58830.959795898045</v>
      </c>
      <c r="F96" s="45">
        <f t="shared" si="1"/>
        <v>172278.08384974167</v>
      </c>
      <c r="G96" s="45">
        <f t="shared" si="2"/>
        <v>3043579.4813454356</v>
      </c>
      <c r="K96">
        <f t="shared" si="6"/>
        <v>27</v>
      </c>
    </row>
    <row r="97" spans="2:11">
      <c r="B97">
        <f t="shared" si="3"/>
        <v>2052</v>
      </c>
      <c r="C97" s="45">
        <f t="shared" si="4"/>
        <v>3005902.3786029154</v>
      </c>
      <c r="D97" s="45">
        <f t="shared" si="5"/>
        <v>134600.98110722122</v>
      </c>
      <c r="E97" s="45">
        <f t="shared" si="0"/>
        <v>58830.959795898052</v>
      </c>
      <c r="F97" s="45">
        <f t="shared" si="1"/>
        <v>174296.42824829987</v>
      </c>
      <c r="G97" s="45">
        <f t="shared" si="2"/>
        <v>3079236.8990532975</v>
      </c>
      <c r="K97">
        <f t="shared" si="6"/>
        <v>28</v>
      </c>
    </row>
    <row r="98" spans="2:11">
      <c r="B98">
        <f t="shared" si="3"/>
        <v>2053</v>
      </c>
      <c r="C98" s="45">
        <f t="shared" si="4"/>
        <v>3043579.4813454356</v>
      </c>
      <c r="D98" s="45">
        <f t="shared" si="5"/>
        <v>138639.01054043786</v>
      </c>
      <c r="E98" s="45">
        <f t="shared" si="0"/>
        <v>58830.959795898052</v>
      </c>
      <c r="F98" s="45">
        <f t="shared" si="1"/>
        <v>176186.32309179878</v>
      </c>
      <c r="G98" s="45">
        <f t="shared" si="2"/>
        <v>3112625.0412884452</v>
      </c>
      <c r="K98">
        <f t="shared" si="6"/>
        <v>29</v>
      </c>
    </row>
    <row r="99" spans="2:11">
      <c r="B99">
        <f t="shared" si="3"/>
        <v>2054</v>
      </c>
      <c r="C99" s="45">
        <f t="shared" si="4"/>
        <v>3079236.8990532975</v>
      </c>
      <c r="D99" s="45">
        <f t="shared" si="5"/>
        <v>142798.18085665099</v>
      </c>
      <c r="E99" s="45">
        <f t="shared" si="0"/>
        <v>58830.959795898038</v>
      </c>
      <c r="F99" s="45">
        <f t="shared" si="1"/>
        <v>177932.57490036567</v>
      </c>
      <c r="G99" s="45">
        <f t="shared" si="2"/>
        <v>3143475.4899064605</v>
      </c>
      <c r="K99">
        <f t="shared" si="6"/>
        <v>30</v>
      </c>
    </row>
    <row r="100" spans="2:11">
      <c r="B100">
        <f t="shared" si="3"/>
        <v>2055</v>
      </c>
      <c r="C100" s="45">
        <f t="shared" si="4"/>
        <v>3112625.0412884452</v>
      </c>
      <c r="D100" s="45">
        <f t="shared" si="5"/>
        <v>147082.12628235051</v>
      </c>
      <c r="E100" s="45">
        <f t="shared" si="0"/>
        <v>58830.959795898052</v>
      </c>
      <c r="F100" s="45">
        <f t="shared" si="1"/>
        <v>179518.85399013836</v>
      </c>
      <c r="G100" s="45">
        <f t="shared" si="2"/>
        <v>3171499.7538257781</v>
      </c>
      <c r="K100">
        <f t="shared" si="6"/>
        <v>31</v>
      </c>
    </row>
    <row r="101" spans="2:11">
      <c r="B101">
        <f t="shared" si="3"/>
        <v>2056</v>
      </c>
      <c r="C101" s="45">
        <f t="shared" si="4"/>
        <v>3143475.4899064605</v>
      </c>
      <c r="D101" s="45">
        <f t="shared" si="5"/>
        <v>151494.59007082102</v>
      </c>
      <c r="E101" s="45">
        <f t="shared" si="0"/>
        <v>58830.959795898052</v>
      </c>
      <c r="F101" s="45">
        <f t="shared" si="1"/>
        <v>180927.61956316995</v>
      </c>
      <c r="G101" s="45">
        <f t="shared" si="2"/>
        <v>3196387.9456160022</v>
      </c>
      <c r="K101">
        <f t="shared" si="6"/>
        <v>32</v>
      </c>
    </row>
    <row r="102" spans="2:11">
      <c r="B102">
        <f t="shared" si="3"/>
        <v>2057</v>
      </c>
      <c r="C102" s="45">
        <f t="shared" si="4"/>
        <v>3171499.7538257781</v>
      </c>
      <c r="D102" s="45">
        <f t="shared" si="5"/>
        <v>156039.42777294567</v>
      </c>
      <c r="E102" s="45">
        <f t="shared" si="0"/>
        <v>58830.959795898067</v>
      </c>
      <c r="F102" s="45">
        <f t="shared" si="1"/>
        <v>182140.0401005921</v>
      </c>
      <c r="G102" s="45">
        <f t="shared" si="2"/>
        <v>3217807.3751104604</v>
      </c>
      <c r="K102">
        <f t="shared" si="6"/>
        <v>33</v>
      </c>
    </row>
    <row r="103" spans="2:11">
      <c r="B103">
        <f t="shared" si="3"/>
        <v>2058</v>
      </c>
      <c r="C103" s="45">
        <f t="shared" si="4"/>
        <v>3196387.9456160022</v>
      </c>
      <c r="D103" s="45">
        <f t="shared" si="5"/>
        <v>160720.61060613405</v>
      </c>
      <c r="E103" s="45">
        <f t="shared" si="0"/>
        <v>58830.959795898059</v>
      </c>
      <c r="F103" s="45">
        <f t="shared" si="1"/>
        <v>183135.90877116853</v>
      </c>
      <c r="G103" s="45">
        <f t="shared" si="2"/>
        <v>3235401.0549573107</v>
      </c>
      <c r="K103">
        <f t="shared" si="6"/>
        <v>34</v>
      </c>
    </row>
    <row r="104" spans="2:11">
      <c r="B104">
        <f t="shared" si="3"/>
        <v>2059</v>
      </c>
      <c r="C104" s="45">
        <f t="shared" si="4"/>
        <v>3217807.3751104604</v>
      </c>
      <c r="D104" s="45">
        <f t="shared" si="5"/>
        <v>165542.22892431807</v>
      </c>
      <c r="E104" s="45">
        <f t="shared" si="0"/>
        <v>58830.959795898059</v>
      </c>
      <c r="F104" s="45">
        <f t="shared" si="1"/>
        <v>183893.55354991578</v>
      </c>
      <c r="G104" s="45">
        <f t="shared" si="2"/>
        <v>3248786.1127151786</v>
      </c>
      <c r="K104">
        <f t="shared" si="6"/>
        <v>35</v>
      </c>
    </row>
    <row r="105" spans="2:11">
      <c r="B105">
        <f t="shared" si="3"/>
        <v>2060</v>
      </c>
      <c r="C105" s="45">
        <f t="shared" si="4"/>
        <v>3235401.0549573107</v>
      </c>
      <c r="D105" s="45">
        <f t="shared" si="5"/>
        <v>170508.49579204762</v>
      </c>
      <c r="E105" s="45">
        <f t="shared" si="0"/>
        <v>58830.959795898074</v>
      </c>
      <c r="F105" s="45">
        <f t="shared" si="1"/>
        <v>184389.74172296218</v>
      </c>
      <c r="G105" s="45">
        <f t="shared" si="2"/>
        <v>3257552.103772332</v>
      </c>
      <c r="K105">
        <f t="shared" si="6"/>
        <v>36</v>
      </c>
    </row>
    <row r="106" spans="2:11">
      <c r="B106">
        <f t="shared" si="3"/>
        <v>2061</v>
      </c>
      <c r="C106" s="45">
        <f t="shared" si="4"/>
        <v>3248786.1127151786</v>
      </c>
      <c r="D106" s="45">
        <f t="shared" si="5"/>
        <v>175623.75066580906</v>
      </c>
      <c r="E106" s="45">
        <f t="shared" si="0"/>
        <v>58830.959795898074</v>
      </c>
      <c r="F106" s="45">
        <f t="shared" si="1"/>
        <v>184599.5784351929</v>
      </c>
      <c r="G106" s="45">
        <f t="shared" si="2"/>
        <v>3261259.2190217413</v>
      </c>
      <c r="K106">
        <f t="shared" si="6"/>
        <v>37</v>
      </c>
    </row>
    <row r="107" spans="2:11">
      <c r="B107">
        <f t="shared" si="3"/>
        <v>2062</v>
      </c>
      <c r="C107" s="45">
        <f t="shared" si="4"/>
        <v>3257552.103772332</v>
      </c>
      <c r="D107" s="45">
        <f t="shared" si="5"/>
        <v>180892.46318578333</v>
      </c>
      <c r="E107" s="45">
        <f t="shared" si="0"/>
        <v>58830.959795898067</v>
      </c>
      <c r="F107" s="45">
        <f t="shared" si="1"/>
        <v>184496.39891642306</v>
      </c>
      <c r="G107" s="45">
        <f t="shared" si="2"/>
        <v>3259436.3808568073</v>
      </c>
      <c r="K107">
        <f t="shared" si="6"/>
        <v>38</v>
      </c>
    </row>
    <row r="108" spans="2:11">
      <c r="B108">
        <f t="shared" si="3"/>
        <v>2063</v>
      </c>
      <c r="C108" s="45">
        <f t="shared" si="4"/>
        <v>3261259.2190217413</v>
      </c>
      <c r="D108" s="45">
        <f t="shared" si="5"/>
        <v>186319.23708135684</v>
      </c>
      <c r="E108" s="45">
        <f t="shared" si="0"/>
        <v>58830.959795898081</v>
      </c>
      <c r="F108" s="45">
        <f t="shared" si="1"/>
        <v>184051.65399978057</v>
      </c>
      <c r="G108" s="45">
        <f t="shared" si="2"/>
        <v>3251579.2206627904</v>
      </c>
      <c r="K108">
        <f t="shared" si="6"/>
        <v>39</v>
      </c>
    </row>
    <row r="109" spans="2:11">
      <c r="B109">
        <f t="shared" si="3"/>
        <v>2064</v>
      </c>
      <c r="C109" s="45">
        <f t="shared" si="4"/>
        <v>3259436.3808568073</v>
      </c>
      <c r="D109" s="45">
        <f t="shared" si="5"/>
        <v>191908.81419379756</v>
      </c>
      <c r="E109" s="45">
        <f t="shared" si="0"/>
        <v>58830.959795898074</v>
      </c>
      <c r="F109" s="45">
        <f t="shared" si="1"/>
        <v>183234.78852259074</v>
      </c>
      <c r="G109" s="45">
        <f t="shared" si="2"/>
        <v>3237147.9305657698</v>
      </c>
      <c r="K109">
        <f t="shared" si="6"/>
        <v>40</v>
      </c>
    </row>
    <row r="110" spans="2:11">
      <c r="B110">
        <f t="shared" si="3"/>
        <v>2065</v>
      </c>
      <c r="C110" s="45">
        <f t="shared" si="4"/>
        <v>3251579.2206627904</v>
      </c>
      <c r="D110" s="45">
        <f t="shared" si="5"/>
        <v>197666.07861961148</v>
      </c>
      <c r="E110" s="45">
        <f t="shared" si="0"/>
        <v>58830.959795898074</v>
      </c>
      <c r="F110" s="45">
        <f t="shared" si="1"/>
        <v>182013.11217525418</v>
      </c>
      <c r="G110" s="45">
        <f t="shared" si="2"/>
        <v>3215564.9817628241</v>
      </c>
      <c r="K110">
        <f t="shared" si="6"/>
        <v>41</v>
      </c>
    </row>
    <row r="111" spans="2:11">
      <c r="B111">
        <f t="shared" si="3"/>
        <v>2066</v>
      </c>
      <c r="C111" s="45">
        <f t="shared" si="4"/>
        <v>3237147.9305657698</v>
      </c>
      <c r="D111" s="45">
        <f t="shared" si="5"/>
        <v>203596.06097819982</v>
      </c>
      <c r="E111" s="45">
        <f t="shared" si="0"/>
        <v>58830.959795898081</v>
      </c>
      <c r="F111" s="45">
        <f t="shared" si="1"/>
        <v>180351.66233731669</v>
      </c>
      <c r="G111" s="45">
        <f t="shared" si="2"/>
        <v>3186212.7012925949</v>
      </c>
      <c r="K111">
        <f t="shared" si="6"/>
        <v>42</v>
      </c>
    </row>
    <row r="112" spans="2:11">
      <c r="B112">
        <f t="shared" si="3"/>
        <v>2067</v>
      </c>
      <c r="C112" s="45">
        <f t="shared" si="4"/>
        <v>3215564.9817628241</v>
      </c>
      <c r="D112" s="45">
        <f t="shared" si="5"/>
        <v>209703.94280754583</v>
      </c>
      <c r="E112" s="45">
        <f t="shared" si="0"/>
        <v>58830.959795898081</v>
      </c>
      <c r="F112" s="45">
        <f t="shared" si="1"/>
        <v>178213.05841204934</v>
      </c>
      <c r="G112" s="45">
        <f t="shared" si="2"/>
        <v>3148430.698612872</v>
      </c>
      <c r="K112">
        <f t="shared" si="6"/>
        <v>43</v>
      </c>
    </row>
    <row r="113" spans="2:11">
      <c r="B113">
        <f t="shared" si="3"/>
        <v>2068</v>
      </c>
      <c r="C113" s="45">
        <f t="shared" si="4"/>
        <v>3186212.7012925949</v>
      </c>
      <c r="D113" s="45">
        <f t="shared" si="5"/>
        <v>215995.06109177219</v>
      </c>
      <c r="E113" s="45">
        <f t="shared" si="0"/>
        <v>58830.959795898081</v>
      </c>
      <c r="F113" s="45">
        <f t="shared" si="1"/>
        <v>175557.34714130079</v>
      </c>
      <c r="G113" s="45">
        <f t="shared" si="2"/>
        <v>3101513.1328296475</v>
      </c>
      <c r="K113">
        <f t="shared" si="6"/>
        <v>44</v>
      </c>
    </row>
    <row r="114" spans="2:11">
      <c r="B114">
        <f t="shared" si="3"/>
        <v>2069</v>
      </c>
      <c r="C114" s="45">
        <f t="shared" si="4"/>
        <v>3148430.698612872</v>
      </c>
      <c r="D114" s="45">
        <f t="shared" si="5"/>
        <v>222474.91292452536</v>
      </c>
      <c r="E114" s="45">
        <f t="shared" si="0"/>
        <v>58830.959795898081</v>
      </c>
      <c r="F114" s="45">
        <f t="shared" si="1"/>
        <v>172341.83835104317</v>
      </c>
      <c r="G114" s="45">
        <f t="shared" si="2"/>
        <v>3044705.8108684295</v>
      </c>
      <c r="K114">
        <f t="shared" si="6"/>
        <v>45</v>
      </c>
    </row>
    <row r="115" spans="2:11">
      <c r="B115">
        <f t="shared" si="3"/>
        <v>2070</v>
      </c>
      <c r="C115" s="45">
        <f t="shared" si="4"/>
        <v>3101513.1328296475</v>
      </c>
      <c r="D115" s="45">
        <f t="shared" si="5"/>
        <v>229149.16031226111</v>
      </c>
      <c r="E115" s="45">
        <f t="shared" si="0"/>
        <v>58830.959795898081</v>
      </c>
      <c r="F115" s="45">
        <f t="shared" si="1"/>
        <v>168520.93054480801</v>
      </c>
      <c r="G115" s="45">
        <f t="shared" si="2"/>
        <v>2977203.1062916084</v>
      </c>
      <c r="K115">
        <f t="shared" si="6"/>
        <v>46</v>
      </c>
    </row>
    <row r="116" spans="2:11">
      <c r="B116">
        <f t="shared" si="3"/>
        <v>2071</v>
      </c>
      <c r="C116" s="45">
        <f t="shared" si="4"/>
        <v>3044705.8108684295</v>
      </c>
      <c r="D116" s="45">
        <f t="shared" si="5"/>
        <v>236023.63512162896</v>
      </c>
      <c r="E116" s="45">
        <f t="shared" si="0"/>
        <v>58830.959795898081</v>
      </c>
      <c r="F116" s="45">
        <f t="shared" si="1"/>
        <v>164045.92572697983</v>
      </c>
      <c r="G116" s="45">
        <f t="shared" si="2"/>
        <v>2898144.6878433106</v>
      </c>
      <c r="K116">
        <f t="shared" si="6"/>
        <v>47</v>
      </c>
    </row>
    <row r="117" spans="2:11">
      <c r="B117">
        <f t="shared" si="3"/>
        <v>2072</v>
      </c>
      <c r="C117" s="45">
        <f t="shared" si="4"/>
        <v>2977203.1062916084</v>
      </c>
      <c r="D117" s="45">
        <f t="shared" si="5"/>
        <v>243104.34417527783</v>
      </c>
      <c r="E117" s="45">
        <f t="shared" si="0"/>
        <v>58830.959795898088</v>
      </c>
      <c r="F117" s="45">
        <f t="shared" si="1"/>
        <v>158864.83280056648</v>
      </c>
      <c r="G117" s="45">
        <f t="shared" si="2"/>
        <v>2806612.0461433413</v>
      </c>
      <c r="K117">
        <f t="shared" si="6"/>
        <v>48</v>
      </c>
    </row>
    <row r="118" spans="2:11">
      <c r="B118">
        <f t="shared" ref="B118:B136" si="7">B117+1</f>
        <v>2073</v>
      </c>
      <c r="C118" s="45">
        <f t="shared" ref="C118:C122" si="8">G116</f>
        <v>2898144.6878433106</v>
      </c>
      <c r="D118" s="45">
        <f t="shared" si="5"/>
        <v>250397.47450053616</v>
      </c>
      <c r="E118" s="45">
        <f t="shared" si="0"/>
        <v>58830.959795898088</v>
      </c>
      <c r="F118" s="45">
        <f t="shared" si="1"/>
        <v>152922.15884446734</v>
      </c>
      <c r="G118" s="45">
        <f t="shared" si="2"/>
        <v>2701624.8062522565</v>
      </c>
      <c r="K118">
        <f t="shared" si="6"/>
        <v>49</v>
      </c>
    </row>
    <row r="119" spans="2:11">
      <c r="B119">
        <f t="shared" si="7"/>
        <v>2074</v>
      </c>
      <c r="C119" s="45">
        <f t="shared" si="8"/>
        <v>2806612.0461433413</v>
      </c>
      <c r="D119" s="45">
        <f t="shared" si="5"/>
        <v>257909.39873555224</v>
      </c>
      <c r="E119" s="45">
        <f t="shared" si="0"/>
        <v>58830.959795898088</v>
      </c>
      <c r="F119" s="45">
        <f t="shared" si="1"/>
        <v>146158.68753327825</v>
      </c>
      <c r="G119" s="45">
        <f t="shared" si="2"/>
        <v>2582136.813087916</v>
      </c>
      <c r="K119">
        <f t="shared" si="6"/>
        <v>50</v>
      </c>
    </row>
    <row r="120" spans="2:11">
      <c r="B120">
        <f t="shared" si="7"/>
        <v>2075</v>
      </c>
      <c r="C120" s="45">
        <f t="shared" si="8"/>
        <v>2701624.8062522565</v>
      </c>
      <c r="D120" s="45">
        <f t="shared" si="5"/>
        <v>265646.68069761881</v>
      </c>
      <c r="E120" s="45">
        <f t="shared" si="0"/>
        <v>58830.959795898081</v>
      </c>
      <c r="F120" s="45">
        <f t="shared" si="1"/>
        <v>138511.2439181621</v>
      </c>
      <c r="G120" s="45">
        <f t="shared" si="2"/>
        <v>2447031.9758875309</v>
      </c>
      <c r="K120">
        <f t="shared" si="6"/>
        <v>51</v>
      </c>
    </row>
    <row r="121" spans="2:11">
      <c r="B121">
        <f t="shared" si="7"/>
        <v>2076</v>
      </c>
      <c r="C121" s="45">
        <f t="shared" si="8"/>
        <v>2582136.813087916</v>
      </c>
      <c r="D121" s="45">
        <f t="shared" si="5"/>
        <v>273616.08111854736</v>
      </c>
      <c r="E121" s="95">
        <f t="shared" si="0"/>
        <v>58830.959795898096</v>
      </c>
      <c r="F121" s="95">
        <f t="shared" si="1"/>
        <v>129912.44474012562</v>
      </c>
      <c r="G121" s="95">
        <f t="shared" si="2"/>
        <v>2295119.8570755525</v>
      </c>
      <c r="K121">
        <f t="shared" si="6"/>
        <v>52</v>
      </c>
    </row>
    <row r="122" spans="2:11">
      <c r="B122" s="80">
        <f t="shared" si="7"/>
        <v>2077</v>
      </c>
      <c r="C122" s="95">
        <f t="shared" si="8"/>
        <v>2447031.9758875309</v>
      </c>
      <c r="D122" s="95">
        <f t="shared" si="5"/>
        <v>281824.56355210376</v>
      </c>
      <c r="E122" s="45">
        <f t="shared" si="0"/>
        <v>58830.959795898081</v>
      </c>
      <c r="F122" s="45">
        <f t="shared" si="1"/>
        <v>120290.43339701313</v>
      </c>
      <c r="G122" s="45">
        <f t="shared" si="2"/>
        <v>2125130.9900138988</v>
      </c>
      <c r="K122">
        <f t="shared" si="6"/>
        <v>53</v>
      </c>
    </row>
    <row r="123" spans="2:11">
      <c r="B123">
        <f t="shared" si="7"/>
        <v>2078</v>
      </c>
      <c r="C123" s="45">
        <f t="shared" ref="C123:C130" si="9">G121</f>
        <v>2295119.8570755525</v>
      </c>
      <c r="D123" s="45">
        <f t="shared" si="5"/>
        <v>290279.30045866687</v>
      </c>
      <c r="E123" s="45">
        <f t="shared" si="0"/>
        <v>58830.959795898081</v>
      </c>
      <c r="F123" s="45">
        <f t="shared" si="1"/>
        <v>109568.59863248831</v>
      </c>
      <c r="G123" s="45">
        <f t="shared" si="2"/>
        <v>1935711.9091739603</v>
      </c>
      <c r="K123">
        <f t="shared" si="6"/>
        <v>54</v>
      </c>
    </row>
    <row r="124" spans="2:11">
      <c r="B124">
        <f t="shared" si="7"/>
        <v>2079</v>
      </c>
      <c r="C124" s="45">
        <f t="shared" si="9"/>
        <v>2125130.9900138988</v>
      </c>
      <c r="D124" s="45">
        <f t="shared" si="5"/>
        <v>298987.67947242688</v>
      </c>
      <c r="E124" s="45">
        <f t="shared" si="0"/>
        <v>58830.959795898103</v>
      </c>
      <c r="F124" s="45">
        <f t="shared" si="1"/>
        <v>97665.275959041639</v>
      </c>
      <c r="G124" s="45">
        <f t="shared" si="2"/>
        <v>1725419.8752764023</v>
      </c>
      <c r="K124">
        <f t="shared" si="6"/>
        <v>55</v>
      </c>
    </row>
    <row r="125" spans="2:11">
      <c r="B125">
        <f t="shared" si="7"/>
        <v>2080</v>
      </c>
      <c r="C125" s="45">
        <f t="shared" si="9"/>
        <v>1935711.9091739603</v>
      </c>
      <c r="D125" s="45">
        <f t="shared" si="5"/>
        <v>307957.30985659972</v>
      </c>
      <c r="E125" s="45">
        <f t="shared" si="0"/>
        <v>58830.959795898096</v>
      </c>
      <c r="F125" s="45">
        <f t="shared" si="1"/>
        <v>84493.430767446276</v>
      </c>
      <c r="G125" s="45">
        <f t="shared" si="2"/>
        <v>1492717.276891551</v>
      </c>
      <c r="K125">
        <f t="shared" si="6"/>
        <v>56</v>
      </c>
    </row>
    <row r="126" spans="2:11">
      <c r="B126">
        <f t="shared" si="7"/>
        <v>2081</v>
      </c>
      <c r="C126" s="45">
        <f t="shared" si="9"/>
        <v>1725419.8752764023</v>
      </c>
      <c r="D126" s="45">
        <f t="shared" si="5"/>
        <v>317196.02915229771</v>
      </c>
      <c r="E126" s="45">
        <f t="shared" si="0"/>
        <v>58830.959795898096</v>
      </c>
      <c r="F126" s="45">
        <f t="shared" si="1"/>
        <v>69960.322011881057</v>
      </c>
      <c r="G126" s="45">
        <f t="shared" si="2"/>
        <v>1235965.6888765653</v>
      </c>
      <c r="K126">
        <f t="shared" si="6"/>
        <v>57</v>
      </c>
    </row>
    <row r="127" spans="2:11">
      <c r="B127">
        <f t="shared" si="7"/>
        <v>2082</v>
      </c>
      <c r="C127" s="45">
        <f t="shared" si="9"/>
        <v>1492717.276891551</v>
      </c>
      <c r="D127" s="45">
        <f t="shared" si="5"/>
        <v>326711.91002686665</v>
      </c>
      <c r="E127" s="45">
        <f t="shared" si="0"/>
        <v>58830.959795898096</v>
      </c>
      <c r="F127" s="45">
        <f t="shared" si="1"/>
        <v>53967.145292933557</v>
      </c>
      <c r="G127" s="45">
        <f t="shared" si="2"/>
        <v>953419.56684182619</v>
      </c>
      <c r="K127">
        <f t="shared" si="6"/>
        <v>58</v>
      </c>
    </row>
    <row r="128" spans="2:11">
      <c r="B128">
        <f t="shared" si="7"/>
        <v>2083</v>
      </c>
      <c r="C128" s="45">
        <f t="shared" si="9"/>
        <v>1235965.6888765653</v>
      </c>
      <c r="D128" s="45">
        <f t="shared" si="5"/>
        <v>336513.26732767269</v>
      </c>
      <c r="E128" s="45">
        <f t="shared" si="0"/>
        <v>58830.959795898103</v>
      </c>
      <c r="F128" s="45">
        <f t="shared" si="1"/>
        <v>36408.654089659394</v>
      </c>
      <c r="G128" s="45">
        <f t="shared" si="2"/>
        <v>643219.55558398273</v>
      </c>
      <c r="K128">
        <f t="shared" si="6"/>
        <v>59</v>
      </c>
    </row>
    <row r="129" spans="2:11">
      <c r="B129">
        <f t="shared" si="7"/>
        <v>2084</v>
      </c>
      <c r="C129" s="45">
        <f t="shared" si="9"/>
        <v>953419.56684182619</v>
      </c>
      <c r="D129" s="45">
        <f t="shared" si="5"/>
        <v>346608.66534750286</v>
      </c>
      <c r="E129" s="45">
        <f t="shared" si="0"/>
        <v>58830.95979589811</v>
      </c>
      <c r="F129" s="45">
        <f t="shared" si="1"/>
        <v>17172.757816563288</v>
      </c>
      <c r="G129" s="45">
        <f t="shared" si="2"/>
        <v>303385.38809261803</v>
      </c>
      <c r="K129">
        <f t="shared" si="6"/>
        <v>60</v>
      </c>
    </row>
    <row r="130" spans="2:11">
      <c r="B130">
        <f t="shared" si="7"/>
        <v>2085</v>
      </c>
      <c r="C130" s="45">
        <f t="shared" si="9"/>
        <v>643219.55558398273</v>
      </c>
      <c r="D130" s="45">
        <f t="shared" si="5"/>
        <v>357006.92530792794</v>
      </c>
      <c r="E130" s="45"/>
      <c r="F130" s="45"/>
      <c r="G130" s="45"/>
      <c r="K130">
        <f t="shared" si="6"/>
        <v>61</v>
      </c>
    </row>
    <row r="131" spans="2:11">
      <c r="B131">
        <f t="shared" si="7"/>
        <v>2086</v>
      </c>
      <c r="C131" s="45"/>
      <c r="D131" s="45"/>
      <c r="E131" s="45"/>
      <c r="F131" s="45"/>
      <c r="G131" s="45"/>
      <c r="K131">
        <f t="shared" si="6"/>
        <v>62</v>
      </c>
    </row>
    <row r="132" spans="2:11">
      <c r="B132">
        <f t="shared" si="7"/>
        <v>2087</v>
      </c>
      <c r="C132" s="45"/>
      <c r="D132" s="45"/>
      <c r="E132" s="45"/>
      <c r="F132" s="45"/>
      <c r="G132" s="45"/>
      <c r="K132">
        <f t="shared" si="6"/>
        <v>63</v>
      </c>
    </row>
    <row r="133" spans="2:11">
      <c r="B133">
        <f t="shared" si="7"/>
        <v>2088</v>
      </c>
      <c r="C133" s="45"/>
      <c r="D133" s="45"/>
      <c r="E133" s="45"/>
      <c r="F133" s="45"/>
      <c r="G133" s="45"/>
      <c r="K133">
        <f t="shared" si="6"/>
        <v>64</v>
      </c>
    </row>
    <row r="134" spans="2:11">
      <c r="B134">
        <f t="shared" si="7"/>
        <v>2089</v>
      </c>
      <c r="C134" s="45"/>
      <c r="D134" s="45"/>
      <c r="K134">
        <f t="shared" si="6"/>
        <v>65</v>
      </c>
    </row>
    <row r="135" spans="2:11">
      <c r="B135">
        <f t="shared" si="7"/>
        <v>2090</v>
      </c>
    </row>
    <row r="136" spans="2:11">
      <c r="B136">
        <f t="shared" si="7"/>
        <v>2091</v>
      </c>
    </row>
    <row r="137" spans="2:11">
      <c r="B137">
        <f>B136+1</f>
        <v>2092</v>
      </c>
    </row>
    <row r="138" spans="2:11">
      <c r="B138">
        <f>B137+1</f>
        <v>2093</v>
      </c>
    </row>
    <row r="139" spans="2:11">
      <c r="B139">
        <f>B138+1</f>
        <v>2094</v>
      </c>
    </row>
    <row r="140" spans="2:11">
      <c r="B140">
        <f t="shared" ref="B140:B145" si="10">B139+1</f>
        <v>2095</v>
      </c>
    </row>
    <row r="141" spans="2:11">
      <c r="B141">
        <f t="shared" si="10"/>
        <v>2096</v>
      </c>
    </row>
    <row r="142" spans="2:11">
      <c r="B142">
        <f t="shared" si="10"/>
        <v>2097</v>
      </c>
    </row>
    <row r="143" spans="2:11">
      <c r="B143">
        <f t="shared" si="10"/>
        <v>2098</v>
      </c>
    </row>
    <row r="144" spans="2:11">
      <c r="B144">
        <f t="shared" si="10"/>
        <v>2099</v>
      </c>
    </row>
    <row r="145" spans="2:2">
      <c r="B145">
        <f t="shared" si="10"/>
        <v>2100</v>
      </c>
    </row>
  </sheetData>
  <dataValidations count="1">
    <dataValidation type="list" allowBlank="1" showInputMessage="1" showErrorMessage="1" error="Error" sqref="C4:C5" xr:uid="{D82B9F1A-7EDC-423B-9EB3-C96B99DA1A1C}">
      <formula1>#REF!</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C9E87-5348-45B7-8EE9-FB8198C27B8D}">
  <dimension ref="A1:Y102"/>
  <sheetViews>
    <sheetView showGridLines="0" workbookViewId="0">
      <selection activeCell="H64" sqref="H64"/>
    </sheetView>
  </sheetViews>
  <sheetFormatPr defaultRowHeight="15"/>
  <cols>
    <col min="2" max="2" width="35.85546875" customWidth="1"/>
    <col min="3" max="3" width="12.85546875" bestFit="1" customWidth="1"/>
    <col min="4" max="4" width="15.7109375" customWidth="1"/>
    <col min="5" max="5" width="16.28515625" customWidth="1"/>
    <col min="6" max="6" width="12.5703125" customWidth="1"/>
    <col min="8" max="8" width="9.85546875" customWidth="1"/>
    <col min="9" max="9" width="14.85546875" bestFit="1" customWidth="1"/>
    <col min="10" max="10" width="37.5703125" customWidth="1"/>
    <col min="11" max="11" width="19" customWidth="1"/>
    <col min="12" max="12" width="23.42578125" bestFit="1" customWidth="1"/>
    <col min="13" max="13" width="14.5703125" customWidth="1"/>
    <col min="14" max="14" width="18" bestFit="1" customWidth="1"/>
    <col min="15" max="15" width="23.42578125" bestFit="1" customWidth="1"/>
    <col min="16" max="18" width="14.5703125" customWidth="1"/>
  </cols>
  <sheetData>
    <row r="1" spans="1:25" ht="23.25">
      <c r="A1" s="136" t="s">
        <v>91</v>
      </c>
      <c r="B1" s="136"/>
      <c r="C1" s="136"/>
      <c r="D1" s="136"/>
      <c r="E1" s="136"/>
    </row>
    <row r="3" spans="1:25">
      <c r="A3" t="s">
        <v>34</v>
      </c>
      <c r="G3" t="s">
        <v>95</v>
      </c>
    </row>
    <row r="5" spans="1:25">
      <c r="A5" t="s">
        <v>37</v>
      </c>
      <c r="J5" s="4" t="s">
        <v>7</v>
      </c>
    </row>
    <row r="6" spans="1:25">
      <c r="J6" s="5" t="s">
        <v>8</v>
      </c>
    </row>
    <row r="7" spans="1:25">
      <c r="J7" s="5" t="s">
        <v>9</v>
      </c>
    </row>
    <row r="8" spans="1:25">
      <c r="B8" s="30" t="s">
        <v>40</v>
      </c>
      <c r="C8" s="23"/>
      <c r="J8" t="s">
        <v>10</v>
      </c>
    </row>
    <row r="9" spans="1:25">
      <c r="B9" t="s">
        <v>92</v>
      </c>
      <c r="C9" s="21">
        <f>C51</f>
        <v>5000</v>
      </c>
    </row>
    <row r="10" spans="1:25">
      <c r="B10" t="s">
        <v>24</v>
      </c>
      <c r="C10" s="21">
        <v>0</v>
      </c>
      <c r="E10" s="21"/>
    </row>
    <row r="11" spans="1:25">
      <c r="B11" s="23" t="s">
        <v>275</v>
      </c>
      <c r="C11" s="21">
        <v>0</v>
      </c>
    </row>
    <row r="12" spans="1:25">
      <c r="B12" t="s">
        <v>93</v>
      </c>
      <c r="C12" s="117">
        <f>SUM(C9:C11)</f>
        <v>5000</v>
      </c>
      <c r="E12" t="s">
        <v>276</v>
      </c>
      <c r="J12" t="s">
        <v>152</v>
      </c>
      <c r="K12" t="s">
        <v>231</v>
      </c>
    </row>
    <row r="14" spans="1:25">
      <c r="J14" t="s">
        <v>153</v>
      </c>
    </row>
    <row r="16" spans="1:25" ht="15" customHeight="1">
      <c r="B16" s="30" t="s">
        <v>43</v>
      </c>
      <c r="C16" s="23"/>
      <c r="J16" s="135" t="s">
        <v>154</v>
      </c>
      <c r="K16" s="135"/>
      <c r="L16" s="135"/>
      <c r="M16" s="135"/>
      <c r="N16" s="135"/>
      <c r="O16" s="135"/>
      <c r="P16" s="135"/>
      <c r="Q16" s="135"/>
      <c r="R16" s="135"/>
      <c r="S16" s="135"/>
      <c r="T16" s="135"/>
      <c r="U16" s="135"/>
      <c r="V16" s="135"/>
      <c r="W16" s="135"/>
      <c r="X16" s="135"/>
      <c r="Y16" s="135"/>
    </row>
    <row r="17" spans="2:25">
      <c r="B17" t="s">
        <v>131</v>
      </c>
      <c r="C17" s="21">
        <v>20000</v>
      </c>
      <c r="J17" s="135"/>
      <c r="K17" s="135"/>
      <c r="L17" s="135"/>
      <c r="M17" s="135"/>
      <c r="N17" s="135"/>
      <c r="O17" s="135"/>
      <c r="P17" s="135"/>
      <c r="Q17" s="135"/>
      <c r="R17" s="135"/>
      <c r="S17" s="135"/>
      <c r="T17" s="135"/>
      <c r="U17" s="135"/>
      <c r="V17" s="135"/>
      <c r="W17" s="135"/>
      <c r="X17" s="135"/>
      <c r="Y17" s="135"/>
    </row>
    <row r="18" spans="2:25">
      <c r="B18" t="s">
        <v>279</v>
      </c>
      <c r="C18" s="21">
        <f>50000+C48</f>
        <v>84000</v>
      </c>
      <c r="E18" t="s">
        <v>277</v>
      </c>
      <c r="J18" s="135"/>
      <c r="K18" s="135"/>
      <c r="L18" s="135"/>
      <c r="M18" s="135"/>
      <c r="N18" s="135"/>
      <c r="O18" s="135"/>
      <c r="P18" s="135"/>
      <c r="Q18" s="135"/>
      <c r="R18" s="135"/>
      <c r="S18" s="135"/>
      <c r="T18" s="135"/>
      <c r="U18" s="135"/>
      <c r="V18" s="135"/>
      <c r="W18" s="135"/>
      <c r="X18" s="135"/>
      <c r="Y18" s="135"/>
    </row>
    <row r="19" spans="2:25">
      <c r="B19" t="s">
        <v>126</v>
      </c>
      <c r="C19" s="21">
        <f>C50</f>
        <v>111000</v>
      </c>
      <c r="E19" t="s">
        <v>278</v>
      </c>
    </row>
    <row r="20" spans="2:25" ht="18.75">
      <c r="B20" t="s">
        <v>249</v>
      </c>
      <c r="C20" s="21">
        <v>25000</v>
      </c>
      <c r="J20" t="s">
        <v>155</v>
      </c>
    </row>
    <row r="21" spans="2:25">
      <c r="B21" t="s">
        <v>127</v>
      </c>
      <c r="C21" s="21">
        <v>15000</v>
      </c>
      <c r="J21" t="s">
        <v>156</v>
      </c>
      <c r="K21" t="s">
        <v>157</v>
      </c>
    </row>
    <row r="22" spans="2:25">
      <c r="B22" t="s">
        <v>128</v>
      </c>
      <c r="C22" s="21">
        <v>25000</v>
      </c>
      <c r="J22" t="s">
        <v>158</v>
      </c>
      <c r="K22" t="s">
        <v>159</v>
      </c>
    </row>
    <row r="23" spans="2:25">
      <c r="B23" s="114" t="s">
        <v>129</v>
      </c>
      <c r="C23" s="117">
        <f>SUM(C17:C22)</f>
        <v>280000</v>
      </c>
      <c r="E23" s="21"/>
    </row>
    <row r="24" spans="2:25">
      <c r="C24" s="21"/>
      <c r="J24" t="s">
        <v>160</v>
      </c>
    </row>
    <row r="26" spans="2:25">
      <c r="B26" s="30" t="s">
        <v>45</v>
      </c>
      <c r="C26" s="23"/>
      <c r="J26" t="s">
        <v>80</v>
      </c>
    </row>
    <row r="27" spans="2:25">
      <c r="B27" t="s">
        <v>220</v>
      </c>
      <c r="C27" s="21">
        <v>350000</v>
      </c>
      <c r="J27" s="53"/>
      <c r="K27" s="53"/>
      <c r="L27" s="53"/>
      <c r="M27" s="53"/>
      <c r="N27" s="53"/>
      <c r="O27" s="53"/>
      <c r="P27" s="53"/>
    </row>
    <row r="28" spans="2:25">
      <c r="B28" t="s">
        <v>132</v>
      </c>
      <c r="C28" s="21">
        <v>80000</v>
      </c>
      <c r="L28" s="3"/>
      <c r="M28" s="52"/>
      <c r="N28" s="52"/>
      <c r="O28" s="52"/>
      <c r="P28" s="24"/>
    </row>
    <row r="29" spans="2:25">
      <c r="B29" s="23" t="s">
        <v>133</v>
      </c>
      <c r="C29" s="25">
        <v>100000</v>
      </c>
      <c r="L29" s="3"/>
      <c r="M29" s="52"/>
      <c r="N29" s="52"/>
      <c r="O29" s="52"/>
      <c r="P29" s="24"/>
    </row>
    <row r="30" spans="2:25">
      <c r="B30" t="s">
        <v>134</v>
      </c>
      <c r="C30" s="21">
        <f>SUM(C27:C29)</f>
        <v>530000</v>
      </c>
      <c r="J30" s="3" t="s">
        <v>217</v>
      </c>
      <c r="K30" t="s">
        <v>219</v>
      </c>
      <c r="L30" s="3" t="s">
        <v>216</v>
      </c>
      <c r="M30" s="52"/>
      <c r="N30" s="52"/>
      <c r="O30" s="52"/>
      <c r="P30" s="24"/>
    </row>
    <row r="31" spans="2:25">
      <c r="J31">
        <v>100</v>
      </c>
      <c r="L31">
        <v>100</v>
      </c>
      <c r="M31" s="52"/>
      <c r="N31" s="52"/>
      <c r="O31" s="52"/>
      <c r="P31" s="24"/>
    </row>
    <row r="32" spans="2:25">
      <c r="J32">
        <v>50</v>
      </c>
      <c r="K32" s="29">
        <f>J32/J31-1</f>
        <v>-0.5</v>
      </c>
      <c r="L32">
        <v>50</v>
      </c>
      <c r="M32" s="29">
        <f>L32/L31-1</f>
        <v>-0.5</v>
      </c>
      <c r="N32" s="52"/>
      <c r="O32" s="52"/>
      <c r="P32" s="24"/>
    </row>
    <row r="33" spans="2:16">
      <c r="B33" s="30" t="s">
        <v>54</v>
      </c>
      <c r="C33" s="23"/>
      <c r="J33">
        <v>100</v>
      </c>
      <c r="K33" s="29">
        <f>J33/J32-1</f>
        <v>1</v>
      </c>
      <c r="L33">
        <v>100</v>
      </c>
      <c r="M33" s="29">
        <f>L33/L32-1</f>
        <v>1</v>
      </c>
      <c r="N33" s="52"/>
      <c r="O33" s="52"/>
      <c r="P33" s="24"/>
    </row>
    <row r="34" spans="2:16">
      <c r="B34" t="s">
        <v>130</v>
      </c>
      <c r="C34" s="21">
        <v>50000</v>
      </c>
      <c r="J34" t="s">
        <v>218</v>
      </c>
      <c r="K34" s="17">
        <f>AVERAGE(K32:K33)</f>
        <v>0.25</v>
      </c>
      <c r="L34" s="3"/>
      <c r="M34" s="17">
        <f t="array" ref="M34">GEOMEAN(1+M32:M33)-1</f>
        <v>0</v>
      </c>
      <c r="N34" s="52"/>
      <c r="O34" s="52"/>
      <c r="P34" s="17"/>
    </row>
    <row r="35" spans="2:16">
      <c r="L35" s="3"/>
      <c r="N35" s="52"/>
      <c r="O35" s="52"/>
      <c r="P35" s="17"/>
    </row>
    <row r="36" spans="2:16">
      <c r="L36" s="3"/>
      <c r="M36" s="54"/>
      <c r="N36" s="54"/>
      <c r="O36" s="52"/>
      <c r="P36" s="17"/>
    </row>
    <row r="37" spans="2:16">
      <c r="B37" s="30" t="s">
        <v>51</v>
      </c>
      <c r="C37" s="23"/>
      <c r="L37" s="3"/>
      <c r="M37" s="54"/>
      <c r="N37" s="54"/>
      <c r="O37" s="52"/>
      <c r="P37" s="17"/>
    </row>
    <row r="38" spans="2:16">
      <c r="B38" t="s">
        <v>251</v>
      </c>
      <c r="C38" s="96">
        <f>'Risk Management'!R65</f>
        <v>729018.70145053312</v>
      </c>
      <c r="M38" s="55"/>
    </row>
    <row r="39" spans="2:16">
      <c r="B39" t="s">
        <v>252</v>
      </c>
      <c r="C39" s="96">
        <f>'Risk Management'!G65</f>
        <v>467576.2864819619</v>
      </c>
      <c r="J39" s="2"/>
      <c r="N39" s="55"/>
    </row>
    <row r="40" spans="2:16">
      <c r="B40" s="114" t="s">
        <v>263</v>
      </c>
      <c r="C40" s="117">
        <f>SUM(C37:C39)</f>
        <v>1196594.9879324951</v>
      </c>
      <c r="J40" s="2"/>
      <c r="N40" s="55"/>
    </row>
    <row r="41" spans="2:16">
      <c r="K41" s="55"/>
      <c r="N41" s="55"/>
    </row>
    <row r="42" spans="2:16">
      <c r="B42" s="30" t="s">
        <v>253</v>
      </c>
      <c r="K42" s="55"/>
      <c r="N42" s="55"/>
    </row>
    <row r="43" spans="2:16">
      <c r="B43" s="55" t="str">
        <f ca="1">_xlfn.FORMULATEXT(C43)</f>
        <v>=(56000/12)*18</v>
      </c>
      <c r="C43" s="127">
        <f>(56000/12)*18</f>
        <v>84000</v>
      </c>
      <c r="N43" s="55"/>
    </row>
    <row r="44" spans="2:16">
      <c r="N44" s="55"/>
    </row>
    <row r="45" spans="2:16">
      <c r="B45" s="30" t="s">
        <v>281</v>
      </c>
      <c r="N45" s="55"/>
    </row>
    <row r="46" spans="2:16">
      <c r="B46" s="55" t="s">
        <v>282</v>
      </c>
      <c r="C46" s="130">
        <v>150000</v>
      </c>
      <c r="N46" s="55"/>
    </row>
    <row r="47" spans="2:16">
      <c r="B47" s="114" t="s">
        <v>92</v>
      </c>
      <c r="C47" s="126">
        <v>-34000</v>
      </c>
      <c r="N47" s="55"/>
    </row>
    <row r="48" spans="2:16">
      <c r="B48" s="128" t="s">
        <v>250</v>
      </c>
      <c r="C48" s="129">
        <f>C47*-1</f>
        <v>34000</v>
      </c>
      <c r="N48" s="55"/>
    </row>
    <row r="49" spans="2:14">
      <c r="B49" s="114" t="s">
        <v>92</v>
      </c>
      <c r="C49" s="126">
        <v>-111000</v>
      </c>
      <c r="N49" s="55"/>
    </row>
    <row r="50" spans="2:14">
      <c r="B50" s="128" t="s">
        <v>126</v>
      </c>
      <c r="C50" s="129">
        <f>C49*-1</f>
        <v>111000</v>
      </c>
      <c r="N50" s="55"/>
    </row>
    <row r="51" spans="2:14">
      <c r="B51" s="114" t="s">
        <v>283</v>
      </c>
      <c r="C51" s="127">
        <f>C46+C47+C49</f>
        <v>5000</v>
      </c>
      <c r="N51" s="55"/>
    </row>
    <row r="52" spans="2:14">
      <c r="B52" s="55"/>
      <c r="C52" s="55"/>
    </row>
    <row r="53" spans="2:14">
      <c r="B53" s="30" t="s">
        <v>258</v>
      </c>
    </row>
    <row r="54" spans="2:14">
      <c r="B54" s="55" t="s">
        <v>262</v>
      </c>
      <c r="C54" s="127">
        <f>'Risk Management'!G26</f>
        <v>961475.99737782264</v>
      </c>
    </row>
    <row r="55" spans="2:14">
      <c r="B55" s="55" t="s">
        <v>261</v>
      </c>
      <c r="C55" s="55">
        <f>C54*0.15</f>
        <v>144221.3996066734</v>
      </c>
      <c r="N55" s="55"/>
    </row>
    <row r="56" spans="2:14">
      <c r="B56" s="55" t="s">
        <v>259</v>
      </c>
      <c r="C56" s="55">
        <f>C23</f>
        <v>280000</v>
      </c>
      <c r="N56" s="55"/>
    </row>
    <row r="57" spans="2:14">
      <c r="B57" s="115" t="s">
        <v>260</v>
      </c>
      <c r="C57" s="116">
        <f>C55/C56</f>
        <v>0.51507642716669066</v>
      </c>
      <c r="N57" s="55"/>
    </row>
    <row r="58" spans="2:14">
      <c r="B58" s="55"/>
      <c r="C58" s="55"/>
      <c r="N58" s="55"/>
    </row>
    <row r="59" spans="2:14">
      <c r="B59" s="55"/>
      <c r="C59" s="55"/>
      <c r="N59" s="55"/>
    </row>
    <row r="60" spans="2:14" s="49" customFormat="1" ht="37.5" customHeight="1">
      <c r="B60" s="133"/>
      <c r="C60" s="133" t="s">
        <v>284</v>
      </c>
      <c r="D60" s="133" t="s">
        <v>285</v>
      </c>
      <c r="E60" s="133" t="s">
        <v>286</v>
      </c>
      <c r="F60" s="133" t="s">
        <v>287</v>
      </c>
      <c r="G60" s="133" t="s">
        <v>288</v>
      </c>
      <c r="H60" s="133" t="s">
        <v>242</v>
      </c>
      <c r="I60" s="133" t="s">
        <v>289</v>
      </c>
      <c r="N60" s="134"/>
    </row>
    <row r="61" spans="2:14">
      <c r="B61" s="55" t="s">
        <v>256</v>
      </c>
      <c r="C61" s="131">
        <f>35</f>
        <v>35</v>
      </c>
      <c r="D61" s="132">
        <f>C61+20</f>
        <v>55</v>
      </c>
      <c r="E61" s="131">
        <v>83</v>
      </c>
      <c r="F61" s="132">
        <v>10</v>
      </c>
      <c r="G61" s="131">
        <f>E61+F61</f>
        <v>93</v>
      </c>
      <c r="H61" s="132">
        <f>G61-C61</f>
        <v>58</v>
      </c>
      <c r="I61" s="131">
        <f>G61-D61</f>
        <v>38</v>
      </c>
      <c r="N61" s="55"/>
    </row>
    <row r="62" spans="2:14">
      <c r="B62" s="55" t="s">
        <v>255</v>
      </c>
      <c r="C62" s="132">
        <f>37</f>
        <v>37</v>
      </c>
      <c r="D62" s="132">
        <f>C62+20</f>
        <v>57</v>
      </c>
      <c r="E62" s="132">
        <v>78</v>
      </c>
      <c r="F62" s="132">
        <v>9</v>
      </c>
      <c r="G62" s="132">
        <f>E62+F62</f>
        <v>87</v>
      </c>
      <c r="H62" s="132">
        <f>G62-C62</f>
        <v>50</v>
      </c>
      <c r="I62" s="132">
        <f>G62-D62</f>
        <v>30</v>
      </c>
      <c r="N62" s="55"/>
    </row>
    <row r="63" spans="2:14">
      <c r="B63" s="55"/>
      <c r="C63" s="55"/>
      <c r="N63" s="55"/>
    </row>
    <row r="64" spans="2:14">
      <c r="B64" s="55"/>
      <c r="C64" s="55"/>
      <c r="N64" s="55"/>
    </row>
    <row r="65" spans="2:14">
      <c r="B65" s="55"/>
      <c r="C65" s="55"/>
      <c r="N65" s="55"/>
    </row>
    <row r="66" spans="2:14">
      <c r="B66" s="55"/>
      <c r="C66" s="55"/>
      <c r="N66" s="55"/>
    </row>
    <row r="67" spans="2:14">
      <c r="B67" s="55"/>
      <c r="C67" s="55"/>
      <c r="N67" s="55"/>
    </row>
    <row r="68" spans="2:14">
      <c r="B68" s="55"/>
      <c r="C68" s="55"/>
      <c r="N68" s="55"/>
    </row>
    <row r="69" spans="2:14">
      <c r="B69" s="55"/>
      <c r="C69" s="55"/>
      <c r="N69" s="55"/>
    </row>
    <row r="70" spans="2:14">
      <c r="B70" s="55"/>
      <c r="C70" s="55"/>
      <c r="N70" s="55"/>
    </row>
    <row r="71" spans="2:14">
      <c r="B71" s="55"/>
      <c r="C71" s="55"/>
      <c r="N71" s="55"/>
    </row>
    <row r="72" spans="2:14">
      <c r="B72" s="55"/>
      <c r="C72" s="55"/>
      <c r="N72" s="55"/>
    </row>
    <row r="73" spans="2:14" ht="15.75" thickBot="1">
      <c r="N73" s="55"/>
    </row>
    <row r="74" spans="2:14">
      <c r="B74" s="103" t="s">
        <v>204</v>
      </c>
      <c r="C74" s="104"/>
      <c r="D74" s="104"/>
      <c r="E74" s="104"/>
      <c r="F74" s="104"/>
      <c r="G74" s="104"/>
      <c r="H74" s="104"/>
      <c r="I74" s="104"/>
      <c r="J74" s="105"/>
    </row>
    <row r="75" spans="2:14">
      <c r="B75" s="106" t="s">
        <v>205</v>
      </c>
      <c r="J75" s="107"/>
    </row>
    <row r="76" spans="2:14">
      <c r="B76" s="106" t="s">
        <v>206</v>
      </c>
      <c r="J76" s="107"/>
    </row>
    <row r="77" spans="2:14">
      <c r="B77" s="106" t="s">
        <v>207</v>
      </c>
      <c r="J77" s="107"/>
    </row>
    <row r="78" spans="2:14">
      <c r="B78" s="108" t="s">
        <v>208</v>
      </c>
      <c r="C78" s="109">
        <f>C30+C9+C11+C17+C18</f>
        <v>639000</v>
      </c>
      <c r="J78" s="107"/>
      <c r="K78" s="14" t="s">
        <v>232</v>
      </c>
    </row>
    <row r="79" spans="2:14">
      <c r="B79" s="106"/>
      <c r="C79" s="21"/>
      <c r="J79" s="107"/>
      <c r="K79" s="14"/>
    </row>
    <row r="80" spans="2:14">
      <c r="B80" s="110" t="s">
        <v>209</v>
      </c>
      <c r="C80" s="21"/>
      <c r="J80" s="107"/>
      <c r="K80" t="s">
        <v>149</v>
      </c>
    </row>
    <row r="81" spans="1:11">
      <c r="B81" s="106" t="s">
        <v>210</v>
      </c>
      <c r="C81" s="21"/>
      <c r="J81" s="107"/>
    </row>
    <row r="82" spans="1:11">
      <c r="B82" s="106" t="s">
        <v>211</v>
      </c>
      <c r="C82" s="21"/>
      <c r="J82" s="107"/>
      <c r="K82" t="s">
        <v>150</v>
      </c>
    </row>
    <row r="83" spans="1:11">
      <c r="B83" s="108" t="s">
        <v>208</v>
      </c>
      <c r="C83" s="109">
        <f>C19</f>
        <v>111000</v>
      </c>
      <c r="J83" s="107"/>
      <c r="K83" t="s">
        <v>151</v>
      </c>
    </row>
    <row r="84" spans="1:11">
      <c r="B84" s="106"/>
      <c r="C84" s="21"/>
      <c r="J84" s="107"/>
    </row>
    <row r="85" spans="1:11">
      <c r="B85" s="110" t="s">
        <v>212</v>
      </c>
      <c r="C85" s="21"/>
      <c r="J85" s="107"/>
    </row>
    <row r="86" spans="1:11">
      <c r="B86" s="106" t="s">
        <v>213</v>
      </c>
      <c r="C86" s="21"/>
      <c r="J86" s="107"/>
    </row>
    <row r="87" spans="1:11" ht="15.75" thickBot="1">
      <c r="B87" s="111" t="s">
        <v>208</v>
      </c>
      <c r="C87" s="112">
        <f>C22+C21+C20</f>
        <v>65000</v>
      </c>
      <c r="D87" s="16"/>
      <c r="E87" s="16"/>
      <c r="F87" s="16"/>
      <c r="G87" s="16"/>
      <c r="H87" s="16"/>
      <c r="I87" s="16"/>
      <c r="J87" s="113"/>
    </row>
    <row r="90" spans="1:11" ht="15.75" thickBot="1"/>
    <row r="91" spans="1:11">
      <c r="A91" s="31" t="s">
        <v>135</v>
      </c>
      <c r="B91" s="32" t="s">
        <v>136</v>
      </c>
      <c r="C91" s="33"/>
      <c r="D91" s="33"/>
      <c r="E91" s="33"/>
      <c r="F91" s="33"/>
      <c r="G91" s="33"/>
      <c r="H91" s="33"/>
      <c r="I91" s="33"/>
      <c r="J91" s="137" t="s">
        <v>137</v>
      </c>
    </row>
    <row r="92" spans="1:11">
      <c r="A92" s="34"/>
      <c r="B92" s="35" t="s">
        <v>138</v>
      </c>
      <c r="C92" s="35"/>
      <c r="D92" s="35"/>
      <c r="E92" s="35"/>
      <c r="F92" s="35"/>
      <c r="G92" s="35"/>
      <c r="H92" s="35"/>
      <c r="I92" s="35"/>
      <c r="J92" s="138"/>
    </row>
    <row r="93" spans="1:11">
      <c r="A93" s="34"/>
      <c r="B93" s="35" t="s">
        <v>139</v>
      </c>
      <c r="C93" s="35"/>
      <c r="D93" s="35"/>
      <c r="E93" s="35"/>
      <c r="F93" s="35"/>
      <c r="G93" s="35"/>
      <c r="H93" s="35"/>
      <c r="I93" s="35"/>
      <c r="J93" s="138"/>
    </row>
    <row r="94" spans="1:11" ht="15.75" thickBot="1">
      <c r="A94" s="36"/>
      <c r="B94" s="37"/>
      <c r="C94" s="37"/>
      <c r="D94" s="37"/>
      <c r="E94" s="37"/>
      <c r="F94" s="37"/>
      <c r="G94" s="37"/>
      <c r="H94" s="37"/>
      <c r="I94" s="37"/>
      <c r="J94" s="138"/>
    </row>
    <row r="95" spans="1:11">
      <c r="A95" s="31" t="s">
        <v>140</v>
      </c>
      <c r="B95" s="32" t="s">
        <v>141</v>
      </c>
      <c r="C95" s="33"/>
      <c r="D95" s="33"/>
      <c r="E95" s="33"/>
      <c r="F95" s="33"/>
      <c r="G95" s="33"/>
      <c r="H95" s="33"/>
      <c r="I95" s="33"/>
      <c r="J95" s="138"/>
    </row>
    <row r="96" spans="1:11">
      <c r="A96" s="34"/>
      <c r="B96" s="35" t="s">
        <v>142</v>
      </c>
      <c r="C96" s="35"/>
      <c r="D96" s="35"/>
      <c r="E96" s="35"/>
      <c r="F96" s="35"/>
      <c r="G96" s="35"/>
      <c r="H96" s="35"/>
      <c r="I96" s="35"/>
      <c r="J96" s="138"/>
    </row>
    <row r="97" spans="1:10">
      <c r="A97" s="34"/>
      <c r="B97" s="35" t="s">
        <v>143</v>
      </c>
      <c r="C97" s="35"/>
      <c r="D97" s="35"/>
      <c r="E97" s="35"/>
      <c r="F97" s="35"/>
      <c r="G97" s="35"/>
      <c r="H97" s="35"/>
      <c r="I97" s="35"/>
      <c r="J97" s="138"/>
    </row>
    <row r="98" spans="1:10" ht="15.75" thickBot="1">
      <c r="A98" s="36"/>
      <c r="B98" s="37"/>
      <c r="C98" s="37"/>
      <c r="D98" s="37"/>
      <c r="E98" s="37"/>
      <c r="F98" s="37"/>
      <c r="G98" s="37"/>
      <c r="H98" s="37"/>
      <c r="I98" s="37"/>
      <c r="J98" s="139"/>
    </row>
    <row r="99" spans="1:10">
      <c r="A99" s="38" t="s">
        <v>144</v>
      </c>
      <c r="B99" s="39" t="s">
        <v>145</v>
      </c>
      <c r="C99" s="40"/>
      <c r="D99" s="40"/>
      <c r="E99" s="40"/>
      <c r="F99" s="40"/>
      <c r="G99" s="40"/>
      <c r="H99" s="40"/>
      <c r="I99" s="40"/>
      <c r="J99" s="140" t="s">
        <v>146</v>
      </c>
    </row>
    <row r="100" spans="1:10">
      <c r="A100" s="41"/>
      <c r="B100" s="42" t="s">
        <v>147</v>
      </c>
      <c r="C100" s="42"/>
      <c r="D100" s="42"/>
      <c r="E100" s="42"/>
      <c r="F100" s="42"/>
      <c r="G100" s="42"/>
      <c r="H100" s="42"/>
      <c r="I100" s="42"/>
      <c r="J100" s="141"/>
    </row>
    <row r="101" spans="1:10">
      <c r="A101" s="41"/>
      <c r="B101" s="42" t="s">
        <v>148</v>
      </c>
      <c r="C101" s="42"/>
      <c r="D101" s="42"/>
      <c r="E101" s="42"/>
      <c r="F101" s="42"/>
      <c r="G101" s="42"/>
      <c r="H101" s="42"/>
      <c r="I101" s="42"/>
      <c r="J101" s="141"/>
    </row>
    <row r="102" spans="1:10" ht="15.75" thickBot="1">
      <c r="A102" s="43"/>
      <c r="B102" s="44"/>
      <c r="C102" s="44"/>
      <c r="D102" s="44"/>
      <c r="E102" s="44"/>
      <c r="F102" s="44"/>
      <c r="G102" s="44"/>
      <c r="H102" s="44"/>
      <c r="I102" s="44"/>
      <c r="J102" s="142"/>
    </row>
  </sheetData>
  <mergeCells count="4">
    <mergeCell ref="A1:E1"/>
    <mergeCell ref="J91:J98"/>
    <mergeCell ref="J99:J102"/>
    <mergeCell ref="J16:Y18"/>
  </mergeCells>
  <phoneticPr fontId="18"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3F34A-6A62-4B3A-B9D8-490D18A528C4}">
  <sheetPr>
    <tabColor rgb="FF92D050"/>
  </sheetPr>
  <dimension ref="A1:U196"/>
  <sheetViews>
    <sheetView showGridLines="0" tabSelected="1" topLeftCell="A123" zoomScale="85" zoomScaleNormal="85" workbookViewId="0">
      <selection activeCell="E184" sqref="E184"/>
    </sheetView>
  </sheetViews>
  <sheetFormatPr defaultRowHeight="15"/>
  <cols>
    <col min="2" max="2" width="22.7109375" customWidth="1"/>
    <col min="3" max="3" width="22.28515625" customWidth="1"/>
    <col min="4" max="5" width="27" customWidth="1"/>
    <col min="6" max="6" width="16.7109375" customWidth="1"/>
    <col min="7" max="7" width="31.28515625" bestFit="1" customWidth="1"/>
    <col min="14" max="14" width="23.7109375" customWidth="1"/>
    <col min="15" max="15" width="31.5703125" bestFit="1" customWidth="1"/>
    <col min="16" max="16" width="26.140625" bestFit="1" customWidth="1"/>
    <col min="17" max="17" width="13.85546875" customWidth="1"/>
    <col min="18" max="18" width="13.28515625" bestFit="1" customWidth="1"/>
    <col min="19" max="19" width="12.42578125" customWidth="1"/>
    <col min="20" max="20" width="10.140625" customWidth="1"/>
    <col min="21" max="21" width="12.7109375" customWidth="1"/>
    <col min="24" max="24" width="68" bestFit="1" customWidth="1"/>
  </cols>
  <sheetData>
    <row r="1" spans="1:21" ht="21" customHeight="1">
      <c r="A1" s="60" t="s">
        <v>27</v>
      </c>
      <c r="B1" s="60"/>
      <c r="C1" s="61"/>
      <c r="D1" s="61"/>
      <c r="E1" s="61"/>
      <c r="F1" s="61"/>
      <c r="G1" s="61"/>
    </row>
    <row r="6" spans="1:21">
      <c r="A6" s="62" t="s">
        <v>28</v>
      </c>
      <c r="B6" s="62"/>
      <c r="N6" s="62" t="s">
        <v>96</v>
      </c>
      <c r="O6" s="62"/>
    </row>
    <row r="8" spans="1:21">
      <c r="A8" t="s">
        <v>29</v>
      </c>
    </row>
    <row r="9" spans="1:21">
      <c r="A9" t="s">
        <v>30</v>
      </c>
    </row>
    <row r="10" spans="1:21" ht="42.75" customHeight="1">
      <c r="B10" s="135" t="s">
        <v>31</v>
      </c>
      <c r="C10" s="135"/>
      <c r="D10" s="135"/>
      <c r="E10" s="135"/>
      <c r="F10" s="135"/>
      <c r="G10" s="135"/>
      <c r="H10" s="135"/>
    </row>
    <row r="11" spans="1:21">
      <c r="B11" s="14" t="s">
        <v>32</v>
      </c>
      <c r="N11" s="62" t="s">
        <v>33</v>
      </c>
      <c r="O11" s="62"/>
    </row>
    <row r="14" spans="1:21" ht="21" customHeight="1">
      <c r="B14" s="63" t="s">
        <v>34</v>
      </c>
      <c r="C14" s="63"/>
      <c r="D14" s="63"/>
      <c r="E14" s="63" t="s">
        <v>35</v>
      </c>
      <c r="F14" s="63"/>
      <c r="G14" s="63"/>
      <c r="N14" s="74"/>
      <c r="O14" s="74"/>
      <c r="P14" s="71" t="s">
        <v>36</v>
      </c>
      <c r="Q14" s="71">
        <v>2023</v>
      </c>
      <c r="R14" s="71">
        <f>Q14+1</f>
        <v>2024</v>
      </c>
      <c r="S14" s="71">
        <f>R14+1</f>
        <v>2025</v>
      </c>
      <c r="T14" s="71">
        <f>S14+1</f>
        <v>2026</v>
      </c>
      <c r="U14" s="71">
        <f>T14+1</f>
        <v>2027</v>
      </c>
    </row>
    <row r="15" spans="1:21">
      <c r="B15" s="12" t="s">
        <v>37</v>
      </c>
      <c r="C15" s="12"/>
      <c r="D15" s="15">
        <f>D16+D17+D18</f>
        <v>815000</v>
      </c>
      <c r="E15" s="12" t="s">
        <v>38</v>
      </c>
      <c r="F15" s="12"/>
      <c r="G15" s="15">
        <f>G16+G17+G18+G19</f>
        <v>250000</v>
      </c>
      <c r="N15" s="71" t="s">
        <v>39</v>
      </c>
      <c r="P15" s="15"/>
      <c r="Q15" s="15"/>
      <c r="R15" s="15"/>
      <c r="S15" s="15"/>
      <c r="T15" s="15"/>
      <c r="U15" s="15"/>
    </row>
    <row r="16" spans="1:21">
      <c r="B16" s="66" t="s">
        <v>40</v>
      </c>
      <c r="C16" s="12"/>
      <c r="D16" s="15">
        <f>Wealth!C12</f>
        <v>5000</v>
      </c>
      <c r="E16" s="66" t="s">
        <v>41</v>
      </c>
      <c r="F16" s="12"/>
      <c r="G16" s="15">
        <v>0</v>
      </c>
      <c r="O16" t="s">
        <v>42</v>
      </c>
      <c r="P16" s="15"/>
      <c r="Q16" s="15"/>
      <c r="R16" s="15"/>
      <c r="S16" s="15"/>
      <c r="T16" s="15"/>
      <c r="U16" s="15"/>
    </row>
    <row r="17" spans="2:21">
      <c r="B17" s="66" t="s">
        <v>43</v>
      </c>
      <c r="C17" s="12"/>
      <c r="D17" s="15">
        <f>Wealth!C23</f>
        <v>280000</v>
      </c>
      <c r="E17" s="66" t="s">
        <v>44</v>
      </c>
      <c r="F17" s="12"/>
      <c r="G17" s="15">
        <v>0</v>
      </c>
      <c r="O17" t="s">
        <v>201</v>
      </c>
      <c r="P17" s="15">
        <f>Wealth!O32+Wealth!O33</f>
        <v>0</v>
      </c>
      <c r="Q17" s="15">
        <f>P17</f>
        <v>0</v>
      </c>
      <c r="R17" s="15">
        <f>Q17</f>
        <v>0</v>
      </c>
      <c r="S17" s="15"/>
      <c r="T17" s="15"/>
      <c r="U17" s="15"/>
    </row>
    <row r="18" spans="2:21">
      <c r="B18" s="66" t="s">
        <v>45</v>
      </c>
      <c r="C18" s="12"/>
      <c r="D18" s="15">
        <f>Wealth!C30</f>
        <v>530000</v>
      </c>
      <c r="E18" s="66" t="s">
        <v>46</v>
      </c>
      <c r="F18" s="12"/>
      <c r="G18" s="15">
        <v>250000</v>
      </c>
      <c r="O18" t="s">
        <v>47</v>
      </c>
      <c r="P18" s="15"/>
      <c r="Q18" s="15"/>
      <c r="R18" s="15"/>
      <c r="S18" s="15"/>
      <c r="T18" s="15"/>
      <c r="U18" s="15"/>
    </row>
    <row r="19" spans="2:21">
      <c r="B19" s="12"/>
      <c r="C19" s="12"/>
      <c r="E19" s="66" t="s">
        <v>48</v>
      </c>
      <c r="F19" s="12"/>
      <c r="O19" t="s">
        <v>49</v>
      </c>
      <c r="P19" s="15"/>
      <c r="Q19" s="15"/>
      <c r="R19" s="15"/>
      <c r="S19" s="15"/>
      <c r="T19" s="15"/>
      <c r="U19" s="15"/>
    </row>
    <row r="20" spans="2:21">
      <c r="B20" s="12"/>
      <c r="C20" s="12"/>
      <c r="E20" s="12"/>
      <c r="F20" s="12"/>
      <c r="O20" t="s">
        <v>50</v>
      </c>
      <c r="P20" s="15"/>
      <c r="Q20" s="15"/>
      <c r="R20" s="15"/>
      <c r="S20" s="15"/>
      <c r="T20" s="15"/>
      <c r="U20" s="15"/>
    </row>
    <row r="21" spans="2:21">
      <c r="B21" s="67" t="s">
        <v>51</v>
      </c>
      <c r="C21" s="12"/>
      <c r="D21" s="15">
        <f>G65+R65</f>
        <v>1196594.9879324951</v>
      </c>
      <c r="E21" s="12" t="s">
        <v>52</v>
      </c>
      <c r="F21" s="12"/>
      <c r="G21" s="15">
        <f>G114+R114</f>
        <v>827802.77826398914</v>
      </c>
      <c r="N21" s="71" t="s">
        <v>53</v>
      </c>
      <c r="O21" s="71"/>
      <c r="P21" s="75">
        <f t="shared" ref="P21:U21" si="0">SUM(P16:P20)</f>
        <v>0</v>
      </c>
      <c r="Q21" s="75">
        <f t="shared" si="0"/>
        <v>0</v>
      </c>
      <c r="R21" s="75">
        <f t="shared" si="0"/>
        <v>0</v>
      </c>
      <c r="S21" s="75">
        <f t="shared" si="0"/>
        <v>0</v>
      </c>
      <c r="T21" s="75">
        <f t="shared" si="0"/>
        <v>0</v>
      </c>
      <c r="U21" s="75">
        <f t="shared" si="0"/>
        <v>0</v>
      </c>
    </row>
    <row r="22" spans="2:21">
      <c r="B22" s="67" t="s">
        <v>54</v>
      </c>
      <c r="C22" s="12"/>
      <c r="D22" s="15">
        <f>50000/(1+0.03)^20</f>
        <v>27683.787709316748</v>
      </c>
      <c r="E22" s="12"/>
      <c r="F22" s="12"/>
      <c r="N22" s="71" t="s">
        <v>55</v>
      </c>
      <c r="P22" s="15"/>
      <c r="Q22" s="15"/>
      <c r="R22" s="15"/>
      <c r="S22" s="15"/>
      <c r="T22" s="15"/>
      <c r="U22" s="15"/>
    </row>
    <row r="23" spans="2:21" ht="15.75" thickBot="1">
      <c r="B23" s="67"/>
      <c r="C23" s="12"/>
      <c r="D23" s="16"/>
      <c r="E23" s="12" t="s">
        <v>56</v>
      </c>
      <c r="F23" s="12"/>
      <c r="G23" s="16"/>
      <c r="O23" t="s">
        <v>57</v>
      </c>
      <c r="P23" s="15"/>
      <c r="Q23" s="15"/>
      <c r="R23" s="15"/>
      <c r="S23" s="15"/>
      <c r="T23" s="15"/>
      <c r="U23" s="15"/>
    </row>
    <row r="24" spans="2:21" ht="15.75" thickBot="1">
      <c r="B24" s="67" t="s">
        <v>58</v>
      </c>
      <c r="C24" s="12"/>
      <c r="D24" s="69">
        <f>D15+D21+D22</f>
        <v>2039278.7756418118</v>
      </c>
      <c r="E24" s="12" t="s">
        <v>59</v>
      </c>
      <c r="F24" s="12"/>
      <c r="G24" s="70">
        <f>+G15+G21+G23</f>
        <v>1077802.7782639891</v>
      </c>
      <c r="O24" t="s">
        <v>60</v>
      </c>
      <c r="P24" s="15"/>
      <c r="Q24" s="15"/>
      <c r="R24" s="15"/>
      <c r="S24" s="15"/>
      <c r="T24" s="15"/>
      <c r="U24" s="15"/>
    </row>
    <row r="25" spans="2:21" ht="15.75" thickTop="1">
      <c r="B25" s="12"/>
      <c r="C25" s="12"/>
      <c r="D25" s="12"/>
      <c r="E25" s="12"/>
      <c r="F25" s="12"/>
      <c r="G25" s="12"/>
      <c r="O25" t="s">
        <v>61</v>
      </c>
      <c r="P25" s="15"/>
      <c r="Q25" s="15"/>
      <c r="R25" s="15"/>
      <c r="S25" s="15"/>
      <c r="T25" s="15"/>
      <c r="U25" s="15"/>
    </row>
    <row r="26" spans="2:21" ht="18.75" customHeight="1" thickBot="1">
      <c r="B26" s="68"/>
      <c r="C26" s="68"/>
      <c r="D26" s="68"/>
      <c r="E26" s="64" t="s">
        <v>62</v>
      </c>
      <c r="F26" s="64"/>
      <c r="G26" s="65">
        <f>D24-G24</f>
        <v>961475.99737782264</v>
      </c>
      <c r="O26" t="s">
        <v>63</v>
      </c>
      <c r="P26" s="15"/>
      <c r="Q26" s="15"/>
      <c r="R26" s="15"/>
      <c r="S26" s="15"/>
      <c r="T26" s="15"/>
      <c r="U26" s="15"/>
    </row>
    <row r="27" spans="2:21">
      <c r="O27" t="s">
        <v>64</v>
      </c>
      <c r="P27" s="15">
        <f>L36</f>
        <v>0</v>
      </c>
      <c r="Q27" s="15">
        <f>P27*(1+Q31)</f>
        <v>0</v>
      </c>
      <c r="R27" s="15">
        <f>Q27*(1+R31)</f>
        <v>0</v>
      </c>
      <c r="S27" s="15">
        <f>R27*(1+S31)</f>
        <v>0</v>
      </c>
      <c r="T27" s="15">
        <f>S27*(1+T31)</f>
        <v>0</v>
      </c>
      <c r="U27" s="15">
        <f>T27*(1+U31)</f>
        <v>0</v>
      </c>
    </row>
    <row r="28" spans="2:21">
      <c r="N28" s="71" t="s">
        <v>65</v>
      </c>
      <c r="O28" s="71"/>
      <c r="P28" s="75">
        <f t="shared" ref="P28:U28" si="1">SUM(P23:P27)</f>
        <v>0</v>
      </c>
      <c r="Q28" s="75">
        <f t="shared" si="1"/>
        <v>0</v>
      </c>
      <c r="R28" s="75">
        <f t="shared" si="1"/>
        <v>0</v>
      </c>
      <c r="S28" s="75">
        <f t="shared" si="1"/>
        <v>0</v>
      </c>
      <c r="T28" s="75">
        <f t="shared" si="1"/>
        <v>0</v>
      </c>
      <c r="U28" s="75">
        <f t="shared" si="1"/>
        <v>0</v>
      </c>
    </row>
    <row r="29" spans="2:21">
      <c r="B29" t="s">
        <v>43</v>
      </c>
      <c r="C29" t="s">
        <v>66</v>
      </c>
      <c r="N29" t="s">
        <v>67</v>
      </c>
      <c r="P29" s="15">
        <f>P21-P28</f>
        <v>0</v>
      </c>
      <c r="Q29" s="15">
        <f>Q21-Q28</f>
        <v>0</v>
      </c>
      <c r="R29" s="15">
        <f>R21-R28</f>
        <v>0</v>
      </c>
      <c r="S29" s="15"/>
      <c r="T29" s="15"/>
      <c r="U29" s="15"/>
    </row>
    <row r="30" spans="2:21">
      <c r="B30" t="s">
        <v>45</v>
      </c>
      <c r="C30" t="s">
        <v>68</v>
      </c>
    </row>
    <row r="31" spans="2:21">
      <c r="N31" t="s">
        <v>69</v>
      </c>
      <c r="Q31" s="17">
        <v>0.06</v>
      </c>
      <c r="R31" s="17">
        <v>0.05</v>
      </c>
      <c r="S31" s="17">
        <v>0.04</v>
      </c>
      <c r="T31" s="17">
        <v>0.03</v>
      </c>
      <c r="U31" s="17">
        <v>0.03</v>
      </c>
    </row>
    <row r="33" spans="2:19">
      <c r="B33" s="71" t="s">
        <v>70</v>
      </c>
      <c r="C33" s="71"/>
      <c r="D33" s="71"/>
      <c r="E33" s="135" t="s">
        <v>71</v>
      </c>
      <c r="F33" s="135"/>
      <c r="G33" s="135"/>
      <c r="M33" s="71" t="s">
        <v>70</v>
      </c>
      <c r="N33" s="71"/>
      <c r="O33" s="71"/>
      <c r="P33" s="135" t="s">
        <v>71</v>
      </c>
      <c r="Q33" s="135"/>
      <c r="R33" s="135"/>
    </row>
    <row r="34" spans="2:19">
      <c r="B34" s="14" t="s">
        <v>255</v>
      </c>
      <c r="E34" s="135"/>
      <c r="F34" s="135"/>
      <c r="G34" s="135"/>
      <c r="L34" s="15"/>
      <c r="M34" s="14" t="s">
        <v>256</v>
      </c>
      <c r="P34" s="135"/>
      <c r="Q34" s="135"/>
      <c r="R34" s="135"/>
    </row>
    <row r="35" spans="2:19">
      <c r="B35" t="s">
        <v>6</v>
      </c>
      <c r="D35">
        <v>37</v>
      </c>
      <c r="L35" s="15"/>
      <c r="M35" t="s">
        <v>6</v>
      </c>
      <c r="O35">
        <v>35</v>
      </c>
    </row>
    <row r="36" spans="2:19" ht="18">
      <c r="B36" t="s">
        <v>72</v>
      </c>
      <c r="D36" s="15">
        <v>35000</v>
      </c>
      <c r="L36" s="15"/>
      <c r="M36" t="s">
        <v>72</v>
      </c>
      <c r="O36" s="15">
        <v>45000</v>
      </c>
    </row>
    <row r="37" spans="2:19" ht="18">
      <c r="B37" t="s">
        <v>73</v>
      </c>
      <c r="D37" s="17">
        <v>0.04</v>
      </c>
      <c r="L37" s="15"/>
      <c r="M37" t="s">
        <v>73</v>
      </c>
      <c r="O37" s="17">
        <v>0.02</v>
      </c>
    </row>
    <row r="38" spans="2:19" ht="18">
      <c r="B38" t="s">
        <v>74</v>
      </c>
      <c r="D38" s="17">
        <v>0.03</v>
      </c>
      <c r="M38" t="s">
        <v>74</v>
      </c>
      <c r="O38" s="17">
        <v>0.03</v>
      </c>
    </row>
    <row r="39" spans="2:19">
      <c r="B39" t="s">
        <v>75</v>
      </c>
      <c r="D39" s="17">
        <v>0.05</v>
      </c>
      <c r="M39" t="s">
        <v>75</v>
      </c>
      <c r="O39" s="17">
        <v>0.03</v>
      </c>
    </row>
    <row r="40" spans="2:19">
      <c r="B40" t="s">
        <v>76</v>
      </c>
      <c r="D40">
        <f>Targets!C11</f>
        <v>20</v>
      </c>
      <c r="F40" t="s">
        <v>77</v>
      </c>
      <c r="G40" s="17">
        <f>D38</f>
        <v>0.03</v>
      </c>
      <c r="M40" t="s">
        <v>76</v>
      </c>
      <c r="O40" t="str">
        <f>Targets!N11</f>
        <v>Portfolio needs 5,000 per year</v>
      </c>
      <c r="Q40" t="s">
        <v>77</v>
      </c>
      <c r="R40" s="17">
        <f>O38</f>
        <v>0.03</v>
      </c>
    </row>
    <row r="41" spans="2:19">
      <c r="F41" t="s">
        <v>78</v>
      </c>
      <c r="G41" s="17">
        <f>D39</f>
        <v>0.05</v>
      </c>
      <c r="Q41" t="s">
        <v>78</v>
      </c>
      <c r="R41" s="17">
        <f>O39</f>
        <v>0.03</v>
      </c>
    </row>
    <row r="42" spans="2:19">
      <c r="F42" t="s">
        <v>79</v>
      </c>
      <c r="G42" s="17">
        <f>G40+G41</f>
        <v>0.08</v>
      </c>
      <c r="H42" s="18"/>
      <c r="Q42" t="s">
        <v>79</v>
      </c>
      <c r="R42" s="17">
        <f>R40+R41</f>
        <v>0.06</v>
      </c>
      <c r="S42" s="18"/>
    </row>
    <row r="44" spans="2:19" ht="28.5" customHeight="1">
      <c r="B44" s="72" t="s">
        <v>81</v>
      </c>
      <c r="C44" s="73" t="s">
        <v>82</v>
      </c>
      <c r="D44" s="72" t="s">
        <v>83</v>
      </c>
      <c r="E44" s="73" t="s">
        <v>84</v>
      </c>
      <c r="F44" s="73" t="s">
        <v>85</v>
      </c>
      <c r="G44" s="73" t="s">
        <v>124</v>
      </c>
      <c r="M44" s="72" t="s">
        <v>81</v>
      </c>
      <c r="N44" s="73" t="s">
        <v>82</v>
      </c>
      <c r="O44" s="72" t="s">
        <v>83</v>
      </c>
      <c r="P44" s="73" t="s">
        <v>84</v>
      </c>
      <c r="Q44" s="73" t="s">
        <v>85</v>
      </c>
      <c r="R44" s="73" t="s">
        <v>124</v>
      </c>
    </row>
    <row r="45" spans="2:19">
      <c r="B45" s="3">
        <v>0</v>
      </c>
      <c r="E45">
        <v>1</v>
      </c>
      <c r="M45" s="3">
        <v>0</v>
      </c>
      <c r="P45">
        <v>1</v>
      </c>
    </row>
    <row r="46" spans="2:19">
      <c r="B46" s="3">
        <f t="shared" ref="B46:B54" si="2">IF(B45&gt;$D$40-1,NA(),B45+1)</f>
        <v>1</v>
      </c>
      <c r="C46" s="15">
        <f>IF(ISERROR(B46),NA(),(D36*(1+$D$37)))</f>
        <v>36400</v>
      </c>
      <c r="D46" s="15">
        <f>C46/(1+$G$42)^B46</f>
        <v>33703.703703703701</v>
      </c>
      <c r="E46" s="19">
        <v>0.99808576600570109</v>
      </c>
      <c r="F46" s="15">
        <f>E46*D46</f>
        <v>33639.186928340292</v>
      </c>
      <c r="G46" s="15">
        <f>IF(ISERROR(B45),NA(),SUM(F$45:F46))</f>
        <v>33639.186928340292</v>
      </c>
      <c r="M46" s="3">
        <f t="shared" ref="M46:M65" si="3">IF(M45&gt;$D$40-1,NA(),M45+1)</f>
        <v>1</v>
      </c>
      <c r="N46" s="15">
        <f>IF(ISERROR(M46),NA(),(O36*(1+$D$37)))</f>
        <v>46800</v>
      </c>
      <c r="O46" s="15">
        <f>N46/(1+$R$42)^M46</f>
        <v>44150.943396226416</v>
      </c>
      <c r="P46" s="19">
        <v>0.99910287386202612</v>
      </c>
      <c r="Q46" s="15">
        <f>P46*O46</f>
        <v>44111.334430889452</v>
      </c>
      <c r="R46" s="15">
        <f>IF(ISERROR(M45),NA(),SUM(Q$45:Q46))</f>
        <v>44111.334430889452</v>
      </c>
    </row>
    <row r="47" spans="2:19">
      <c r="B47" s="3">
        <f t="shared" si="2"/>
        <v>2</v>
      </c>
      <c r="C47" s="15">
        <f>IF(ISERROR(B47),NA(),C46*(1+$D$37))</f>
        <v>37856</v>
      </c>
      <c r="D47" s="15">
        <f>C47/(1+$G$42)^B47</f>
        <v>32455.418381344305</v>
      </c>
      <c r="E47" s="19">
        <v>0.99602588377270551</v>
      </c>
      <c r="F47" s="15">
        <f>E47*D47</f>
        <v>32326.436776491373</v>
      </c>
      <c r="G47" s="15">
        <f>IF(ISERROR(B46),NA(),SUM(F$45:F47))</f>
        <v>65965.623704831669</v>
      </c>
      <c r="M47" s="3">
        <f t="shared" si="3"/>
        <v>2</v>
      </c>
      <c r="N47" s="15">
        <f>IF(ISERROR(M47),NA(),N46*(1+$D$37))</f>
        <v>48672</v>
      </c>
      <c r="O47" s="15">
        <f t="shared" ref="O47:O65" si="4">N47/(1+$R$42)^M47</f>
        <v>43317.906728373084</v>
      </c>
      <c r="P47" s="19">
        <v>0.99812419080241821</v>
      </c>
      <c r="Q47" s="15">
        <f>P47*O47</f>
        <v>43236.65060051201</v>
      </c>
      <c r="R47" s="15">
        <f>IF(ISERROR(M46),NA(),SUM(Q$45:Q47))</f>
        <v>87347.985031401462</v>
      </c>
    </row>
    <row r="48" spans="2:19">
      <c r="B48" s="3">
        <f t="shared" si="2"/>
        <v>3</v>
      </c>
      <c r="C48" s="15">
        <f t="shared" ref="C48:C85" si="5">IF(ISERROR(B48),NA(),C47*(1+$D$37))</f>
        <v>39370.239999999998</v>
      </c>
      <c r="D48" s="15">
        <f>C48/(1+$G$42)^B48</f>
        <v>31253.36584870192</v>
      </c>
      <c r="E48" s="19">
        <v>0.99379954640977086</v>
      </c>
      <c r="F48" s="15">
        <f>E48*D48</f>
        <v>31059.580804218593</v>
      </c>
      <c r="G48" s="15">
        <f>IF(ISERROR(B47),NA(),SUM(F$45:F48))</f>
        <v>97025.204509050265</v>
      </c>
      <c r="M48" s="3">
        <f t="shared" si="3"/>
        <v>3</v>
      </c>
      <c r="N48" s="15">
        <f t="shared" ref="N48:N65" si="6">IF(ISERROR(M48),NA(),N47*(1+$D$37))</f>
        <v>50618.880000000005</v>
      </c>
      <c r="O48" s="15">
        <f t="shared" si="4"/>
        <v>42500.587733498112</v>
      </c>
      <c r="P48" s="19">
        <v>0.99705375620597203</v>
      </c>
      <c r="Q48" s="15">
        <f t="shared" ref="Q48:Q65" si="7">P48*O48</f>
        <v>42375.37064064575</v>
      </c>
      <c r="R48" s="15">
        <f>IF(ISERROR(M47),NA(),SUM(Q$45:Q48))</f>
        <v>129723.35567204721</v>
      </c>
    </row>
    <row r="49" spans="2:18">
      <c r="B49" s="3">
        <f t="shared" si="2"/>
        <v>4</v>
      </c>
      <c r="C49" s="15">
        <f t="shared" si="5"/>
        <v>40945.049599999998</v>
      </c>
      <c r="D49" s="15">
        <f t="shared" ref="D49:D69" si="8">C49/(1+$G$42)^B49</f>
        <v>30095.833780231475</v>
      </c>
      <c r="E49" s="19">
        <v>0.99138594702565486</v>
      </c>
      <c r="F49" s="15">
        <f t="shared" ref="F49:F69" si="9">E49*D49</f>
        <v>29836.586673741476</v>
      </c>
      <c r="G49" s="15">
        <f>IF(ISERROR(B48),NA(),SUM(F$45:F49))</f>
        <v>126861.79118279174</v>
      </c>
      <c r="M49" s="3">
        <f t="shared" si="3"/>
        <v>4</v>
      </c>
      <c r="N49" s="15">
        <f t="shared" si="6"/>
        <v>52643.635200000004</v>
      </c>
      <c r="O49" s="15">
        <f t="shared" si="4"/>
        <v>41698.689851734001</v>
      </c>
      <c r="P49" s="19">
        <v>0.9958711808422791</v>
      </c>
      <c r="Q49" s="15">
        <f t="shared" si="7"/>
        <v>41526.523502222299</v>
      </c>
      <c r="R49" s="15">
        <f>IF(ISERROR(M48),NA(),SUM(Q$45:Q49))</f>
        <v>171249.8791742695</v>
      </c>
    </row>
    <row r="50" spans="2:18">
      <c r="B50" s="3">
        <f t="shared" si="2"/>
        <v>5</v>
      </c>
      <c r="C50" s="15">
        <f t="shared" si="5"/>
        <v>42582.851583999996</v>
      </c>
      <c r="D50" s="15">
        <f t="shared" si="8"/>
        <v>28981.17326985253</v>
      </c>
      <c r="E50" s="19">
        <v>0.9887850856203575</v>
      </c>
      <c r="F50" s="15">
        <f t="shared" si="9"/>
        <v>28656.151893009552</v>
      </c>
      <c r="G50" s="15">
        <f>IF(ISERROR(B49),NA(),SUM(F$45:F50))</f>
        <v>155517.9430758013</v>
      </c>
      <c r="M50" s="3">
        <f t="shared" si="3"/>
        <v>5</v>
      </c>
      <c r="N50" s="15">
        <f t="shared" si="6"/>
        <v>54749.380608000007</v>
      </c>
      <c r="O50" s="15">
        <f t="shared" si="4"/>
        <v>40911.922118682414</v>
      </c>
      <c r="P50" s="19">
        <v>0.99457646471133943</v>
      </c>
      <c r="Q50" s="15">
        <f t="shared" si="7"/>
        <v>40690.034865344809</v>
      </c>
      <c r="R50" s="15">
        <f>IF(ISERROR(M49),NA(),SUM(Q$45:Q50))</f>
        <v>211939.91403961432</v>
      </c>
    </row>
    <row r="51" spans="2:18">
      <c r="B51" s="3">
        <f t="shared" si="2"/>
        <v>6</v>
      </c>
      <c r="C51" s="15">
        <f t="shared" si="5"/>
        <v>44286.165647359994</v>
      </c>
      <c r="D51" s="15">
        <f>C51/(1+$G$42)^B51</f>
        <v>27907.796482080212</v>
      </c>
      <c r="E51" s="19">
        <v>0.98595534841139387</v>
      </c>
      <c r="F51" s="15">
        <f t="shared" si="9"/>
        <v>27515.841203883669</v>
      </c>
      <c r="G51" s="15">
        <f>IF(ISERROR(B50),NA(),SUM(F$45:F51))</f>
        <v>183033.78427968497</v>
      </c>
      <c r="M51" s="3">
        <f t="shared" si="3"/>
        <v>6</v>
      </c>
      <c r="N51" s="15">
        <f t="shared" si="6"/>
        <v>56939.355832320012</v>
      </c>
      <c r="O51" s="15">
        <f t="shared" si="4"/>
        <v>40139.999059839349</v>
      </c>
      <c r="P51" s="19">
        <v>0.99313902396754039</v>
      </c>
      <c r="Q51" s="15">
        <f t="shared" si="7"/>
        <v>39864.599488346837</v>
      </c>
      <c r="R51" s="15">
        <f>IF(ISERROR(M50),NA(),SUM(Q$45:Q51))</f>
        <v>251804.51352796116</v>
      </c>
    </row>
    <row r="52" spans="2:18">
      <c r="B52" s="3">
        <f t="shared" si="2"/>
        <v>7</v>
      </c>
      <c r="C52" s="15">
        <f t="shared" si="5"/>
        <v>46057.612273254395</v>
      </c>
      <c r="D52" s="15">
        <f t="shared" si="8"/>
        <v>26874.174390151315</v>
      </c>
      <c r="E52" s="19">
        <v>0.9828655250619005</v>
      </c>
      <c r="F52" s="15">
        <f t="shared" si="9"/>
        <v>26413.699522581152</v>
      </c>
      <c r="G52" s="15">
        <f>IF(ISERROR(B51),NA(),SUM(F$45:F52))</f>
        <v>209447.48380226613</v>
      </c>
      <c r="M52" s="3">
        <f t="shared" si="3"/>
        <v>7</v>
      </c>
      <c r="N52" s="15">
        <f t="shared" si="6"/>
        <v>59216.930065612818</v>
      </c>
      <c r="O52" s="15">
        <f t="shared" si="4"/>
        <v>39382.640587012189</v>
      </c>
      <c r="P52" s="19">
        <v>0.99156905322608602</v>
      </c>
      <c r="Q52" s="15">
        <f t="shared" si="7"/>
        <v>39050.607640406903</v>
      </c>
      <c r="R52" s="15">
        <f>IF(ISERROR(M51),NA(),SUM(Q$45:Q52))</f>
        <v>290855.12116836803</v>
      </c>
    </row>
    <row r="53" spans="2:18">
      <c r="B53" s="3">
        <f t="shared" si="2"/>
        <v>8</v>
      </c>
      <c r="C53" s="15">
        <f t="shared" si="5"/>
        <v>47899.916764184571</v>
      </c>
      <c r="D53" s="15">
        <f t="shared" si="8"/>
        <v>25878.834597923487</v>
      </c>
      <c r="E53" s="19">
        <v>0.97951561557187738</v>
      </c>
      <c r="F53" s="15">
        <f t="shared" si="9"/>
        <v>25348.722601467824</v>
      </c>
      <c r="G53" s="15">
        <f>IF(ISERROR(B52),NA(),SUM(F$45:F53))</f>
        <v>234796.20640373396</v>
      </c>
      <c r="M53" s="3">
        <f t="shared" si="3"/>
        <v>8</v>
      </c>
      <c r="N53" s="15">
        <f t="shared" si="6"/>
        <v>61585.607268237334</v>
      </c>
      <c r="O53" s="15">
        <f t="shared" si="4"/>
        <v>38639.57189669121</v>
      </c>
      <c r="P53" s="19">
        <v>0.98985635787177217</v>
      </c>
      <c r="Q53" s="15">
        <f t="shared" si="7"/>
        <v>38247.625907383248</v>
      </c>
      <c r="R53" s="15">
        <f>IF(ISERROR(M52),NA(),SUM(Q$45:Q53))</f>
        <v>329102.74707575131</v>
      </c>
    </row>
    <row r="54" spans="2:18">
      <c r="B54" s="3">
        <f t="shared" si="2"/>
        <v>9</v>
      </c>
      <c r="C54" s="15">
        <f t="shared" si="5"/>
        <v>49815.913434751958</v>
      </c>
      <c r="D54" s="15">
        <f t="shared" si="8"/>
        <v>24920.35924244484</v>
      </c>
      <c r="E54" s="19">
        <v>0.97585360271321864</v>
      </c>
      <c r="F54" s="15">
        <f t="shared" si="9"/>
        <v>24318.622347647452</v>
      </c>
      <c r="G54" s="15">
        <f>IF(ISERROR(B53),NA(),SUM(F$45:F54))</f>
        <v>259114.8287513814</v>
      </c>
      <c r="M54" s="3">
        <f t="shared" si="3"/>
        <v>9</v>
      </c>
      <c r="N54" s="15">
        <f t="shared" si="6"/>
        <v>64049.031558966832</v>
      </c>
      <c r="O54" s="15">
        <f t="shared" si="4"/>
        <v>37910.523370338553</v>
      </c>
      <c r="P54" s="19">
        <v>0.98798054867419027</v>
      </c>
      <c r="Q54" s="15">
        <f t="shared" si="7"/>
        <v>37454.859679952795</v>
      </c>
      <c r="R54" s="15">
        <f>IF(ISERROR(M53),NA(),SUM(Q$45:Q54))</f>
        <v>366557.6067557041</v>
      </c>
    </row>
    <row r="55" spans="2:18">
      <c r="B55" s="3">
        <f t="shared" ref="B55:B63" si="10">IF(B54&gt;$D$40-1,NA(),B54+1)</f>
        <v>10</v>
      </c>
      <c r="C55" s="15">
        <f t="shared" si="5"/>
        <v>51808.549972142035</v>
      </c>
      <c r="D55" s="15">
        <f t="shared" si="8"/>
        <v>23997.382974206139</v>
      </c>
      <c r="E55" s="19">
        <v>0.97188988993154535</v>
      </c>
      <c r="F55" s="15">
        <f t="shared" si="9"/>
        <v>23322.813897446344</v>
      </c>
      <c r="G55" s="15">
        <f>IF(ISERROR(B54),NA(),SUM(F$45:F55))</f>
        <v>282437.64264882775</v>
      </c>
      <c r="M55" s="3">
        <f t="shared" si="3"/>
        <v>10</v>
      </c>
      <c r="N55" s="15">
        <f t="shared" si="6"/>
        <v>66610.992821325504</v>
      </c>
      <c r="O55" s="15">
        <f t="shared" si="4"/>
        <v>37195.230476558572</v>
      </c>
      <c r="P55" s="19">
        <v>0.98595182024854466</v>
      </c>
      <c r="Q55" s="15">
        <f t="shared" si="7"/>
        <v>36672.705192927067</v>
      </c>
      <c r="R55" s="15">
        <f>IF(ISERROR(M54),NA(),SUM(Q$45:Q55))</f>
        <v>403230.31194863119</v>
      </c>
    </row>
    <row r="56" spans="2:18">
      <c r="B56" s="3">
        <f t="shared" si="10"/>
        <v>11</v>
      </c>
      <c r="C56" s="15">
        <f t="shared" si="5"/>
        <v>53880.891971027719</v>
      </c>
      <c r="D56" s="15">
        <f t="shared" si="8"/>
        <v>23108.591012198507</v>
      </c>
      <c r="E56" s="19">
        <v>0.96758286344437283</v>
      </c>
      <c r="F56" s="15">
        <f t="shared" si="9"/>
        <v>22359.476661747929</v>
      </c>
      <c r="G56" s="15">
        <f>IF(ISERROR(B55),NA(),SUM(F$45:F56))</f>
        <v>304797.11931057565</v>
      </c>
      <c r="M56" s="3">
        <f t="shared" si="3"/>
        <v>11</v>
      </c>
      <c r="N56" s="15">
        <f t="shared" si="6"/>
        <v>69275.43253417853</v>
      </c>
      <c r="O56" s="15">
        <f t="shared" si="4"/>
        <v>36493.433675114065</v>
      </c>
      <c r="P56" s="19">
        <v>0.98373958874922263</v>
      </c>
      <c r="Q56" s="15">
        <f t="shared" si="7"/>
        <v>35900.035435603742</v>
      </c>
      <c r="R56" s="15">
        <f>IF(ISERROR(M55),NA(),SUM(Q$45:Q56))</f>
        <v>439130.34738423495</v>
      </c>
    </row>
    <row r="57" spans="2:18">
      <c r="B57" s="3">
        <f t="shared" si="10"/>
        <v>12</v>
      </c>
      <c r="C57" s="15">
        <f t="shared" si="5"/>
        <v>56036.127649868831</v>
      </c>
      <c r="D57" s="15">
        <f>C57/(1+$G$42)^B57</f>
        <v>22252.717271005968</v>
      </c>
      <c r="E57" s="19">
        <v>0.96294292669732218</v>
      </c>
      <c r="F57" s="15">
        <f t="shared" si="9"/>
        <v>21428.096695910535</v>
      </c>
      <c r="G57" s="15">
        <f>IF(ISERROR(B56),NA(),SUM(F$45:F57))</f>
        <v>326225.21600648621</v>
      </c>
      <c r="M57" s="3">
        <f t="shared" si="3"/>
        <v>12</v>
      </c>
      <c r="N57" s="15">
        <f t="shared" si="6"/>
        <v>72046.449835545674</v>
      </c>
      <c r="O57" s="15">
        <f t="shared" si="4"/>
        <v>35804.87832275343</v>
      </c>
      <c r="P57" s="19">
        <v>0.98133365956101992</v>
      </c>
      <c r="Q57" s="15">
        <f t="shared" si="7"/>
        <v>35136.532274604659</v>
      </c>
      <c r="R57" s="15">
        <f>IF(ISERROR(M56),NA(),SUM(Q$45:Q57))</f>
        <v>474266.87965883961</v>
      </c>
    </row>
    <row r="58" spans="2:18">
      <c r="B58" s="3">
        <f t="shared" si="10"/>
        <v>13</v>
      </c>
      <c r="C58" s="15">
        <f t="shared" si="5"/>
        <v>58277.572755863584</v>
      </c>
      <c r="D58" s="15">
        <f t="shared" si="8"/>
        <v>21428.542557265006</v>
      </c>
      <c r="E58" s="19">
        <v>0.9579180624622875</v>
      </c>
      <c r="F58" s="15">
        <f t="shared" si="9"/>
        <v>20526.787967845965</v>
      </c>
      <c r="G58" s="15">
        <f>IF(ISERROR(B57),NA(),SUM(F$45:F58))</f>
        <v>346752.00397433218</v>
      </c>
      <c r="M58" s="3">
        <f t="shared" si="3"/>
        <v>13</v>
      </c>
      <c r="N58" s="15">
        <f t="shared" si="6"/>
        <v>74928.307828967503</v>
      </c>
      <c r="O58" s="15">
        <f t="shared" si="4"/>
        <v>35129.31458081468</v>
      </c>
      <c r="P58" s="19">
        <v>0.97875442191434481</v>
      </c>
      <c r="Q58" s="15">
        <f t="shared" si="7"/>
        <v>34382.971984792435</v>
      </c>
      <c r="R58" s="15">
        <f>IF(ISERROR(M57),NA(),SUM(Q$45:Q58))</f>
        <v>508649.85164363205</v>
      </c>
    </row>
    <row r="59" spans="2:18">
      <c r="B59" s="3">
        <f t="shared" si="10"/>
        <v>14</v>
      </c>
      <c r="C59" s="15">
        <f t="shared" si="5"/>
        <v>60608.675666098126</v>
      </c>
      <c r="D59" s="15">
        <f t="shared" si="8"/>
        <v>20634.892832921854</v>
      </c>
      <c r="E59" s="19">
        <v>0.9525082707392688</v>
      </c>
      <c r="F59" s="15">
        <f t="shared" si="9"/>
        <v>19654.906089176526</v>
      </c>
      <c r="G59" s="15">
        <f>IF(ISERROR(B58),NA(),SUM(F$45:F59))</f>
        <v>366406.91006350872</v>
      </c>
      <c r="M59" s="3">
        <f t="shared" si="3"/>
        <v>14</v>
      </c>
      <c r="N59" s="15">
        <f t="shared" si="6"/>
        <v>77925.440142126201</v>
      </c>
      <c r="O59" s="15">
        <f t="shared" si="4"/>
        <v>34466.497324572891</v>
      </c>
      <c r="P59" s="19">
        <v>0.97599168119399338</v>
      </c>
      <c r="Q59" s="15">
        <f t="shared" si="7"/>
        <v>33639.014668678174</v>
      </c>
      <c r="R59" s="15">
        <f>IF(ISERROR(M58),NA(),SUM(Q$45:Q59))</f>
        <v>542288.86631231022</v>
      </c>
    </row>
    <row r="60" spans="2:18">
      <c r="B60" s="3">
        <f t="shared" si="10"/>
        <v>15</v>
      </c>
      <c r="C60" s="15">
        <f t="shared" si="5"/>
        <v>63033.022692742052</v>
      </c>
      <c r="D60" s="15">
        <f t="shared" si="8"/>
        <v>19870.637542813638</v>
      </c>
      <c r="E60" s="19">
        <v>0.9466615343001602</v>
      </c>
      <c r="F60" s="15">
        <f t="shared" si="9"/>
        <v>18810.768223802323</v>
      </c>
      <c r="G60" s="15">
        <f>IF(ISERROR(B59),NA(),SUM(F$45:F60))</f>
        <v>385217.67828731105</v>
      </c>
      <c r="M60" s="3">
        <f t="shared" si="3"/>
        <v>15</v>
      </c>
      <c r="N60" s="15">
        <f t="shared" si="6"/>
        <v>81042.457747811248</v>
      </c>
      <c r="O60" s="15">
        <f t="shared" si="4"/>
        <v>33816.186054297927</v>
      </c>
      <c r="P60" s="19">
        <v>0.97306582663037389</v>
      </c>
      <c r="Q60" s="15">
        <f t="shared" si="7"/>
        <v>32905.375036411933</v>
      </c>
      <c r="R60" s="15">
        <f>IF(ISERROR(M59),NA(),SUM(Q$45:Q60))</f>
        <v>575194.24134872213</v>
      </c>
    </row>
    <row r="61" spans="2:18">
      <c r="B61" s="3">
        <f t="shared" si="10"/>
        <v>16</v>
      </c>
      <c r="C61" s="15">
        <f t="shared" si="5"/>
        <v>65554.343600451743</v>
      </c>
      <c r="D61" s="15">
        <f t="shared" si="8"/>
        <v>19134.688004190913</v>
      </c>
      <c r="E61" s="19">
        <v>0.94041946692744638</v>
      </c>
      <c r="F61" s="15">
        <f t="shared" si="9"/>
        <v>17994.633092724223</v>
      </c>
      <c r="G61" s="15">
        <f>IF(ISERROR(B60),NA(),SUM(F$45:F61))</f>
        <v>403212.31138003524</v>
      </c>
      <c r="M61" s="3">
        <f t="shared" si="3"/>
        <v>16</v>
      </c>
      <c r="N61" s="15">
        <f t="shared" si="6"/>
        <v>84284.156057723696</v>
      </c>
      <c r="O61" s="15">
        <f t="shared" si="4"/>
        <v>33178.144807990422</v>
      </c>
      <c r="P61" s="19">
        <v>0.96995646899307786</v>
      </c>
      <c r="Q61" s="15">
        <f t="shared" si="7"/>
        <v>32181.356185699409</v>
      </c>
      <c r="R61" s="15">
        <f>IF(ISERROR(M60),NA(),SUM(Q$45:Q61))</f>
        <v>607375.5975344216</v>
      </c>
    </row>
    <row r="62" spans="2:18">
      <c r="B62" s="3">
        <f t="shared" si="10"/>
        <v>17</v>
      </c>
      <c r="C62" s="15">
        <f t="shared" si="5"/>
        <v>68176.517344469816</v>
      </c>
      <c r="D62" s="15">
        <f t="shared" si="8"/>
        <v>18425.995855887544</v>
      </c>
      <c r="E62" s="19">
        <v>0.93381327895799093</v>
      </c>
      <c r="F62" s="15">
        <f t="shared" si="9"/>
        <v>17206.439608252702</v>
      </c>
      <c r="G62" s="15">
        <f>IF(ISERROR(B61),NA(),SUM(F$45:F62))</f>
        <v>420418.75098828797</v>
      </c>
      <c r="M62" s="3">
        <f t="shared" si="3"/>
        <v>17</v>
      </c>
      <c r="N62" s="15">
        <f t="shared" si="6"/>
        <v>87655.522300032651</v>
      </c>
      <c r="O62" s="15">
        <f t="shared" si="4"/>
        <v>32552.142075764186</v>
      </c>
      <c r="P62" s="19">
        <v>0.96663302443649268</v>
      </c>
      <c r="Q62" s="15">
        <f t="shared" si="7"/>
        <v>31465.975546582344</v>
      </c>
      <c r="R62" s="15">
        <f>IF(ISERROR(M61),NA(),SUM(Q$45:Q62))</f>
        <v>638841.57308100397</v>
      </c>
    </row>
    <row r="63" spans="2:18">
      <c r="B63" s="3">
        <f t="shared" si="10"/>
        <v>18</v>
      </c>
      <c r="C63" s="15">
        <f t="shared" si="5"/>
        <v>70903.578038248612</v>
      </c>
      <c r="D63" s="15">
        <f t="shared" si="8"/>
        <v>17743.551564928748</v>
      </c>
      <c r="E63" s="19">
        <v>0.92684297039179375</v>
      </c>
      <c r="F63" s="15">
        <f t="shared" si="9"/>
        <v>16445.486037738523</v>
      </c>
      <c r="G63" s="15">
        <f>IF(ISERROR(B62),NA(),SUM(F$45:F63))</f>
        <v>436864.23702602647</v>
      </c>
      <c r="M63" s="3">
        <f t="shared" si="3"/>
        <v>18</v>
      </c>
      <c r="N63" s="15">
        <f t="shared" si="6"/>
        <v>91161.743192033959</v>
      </c>
      <c r="O63" s="15">
        <f t="shared" si="4"/>
        <v>31937.950715844108</v>
      </c>
      <c r="P63" s="19">
        <v>0.96305471449980118</v>
      </c>
      <c r="Q63" s="15">
        <f t="shared" si="7"/>
        <v>30757.994008355967</v>
      </c>
      <c r="R63" s="15">
        <f>IF(ISERROR(M62),NA(),SUM(Q$45:Q63))</f>
        <v>669599.56708935997</v>
      </c>
    </row>
    <row r="64" spans="2:18">
      <c r="B64" s="3">
        <f t="shared" ref="B64:B85" si="11">IF(B63&gt;$D$40-1,NA(),B63+1)</f>
        <v>19</v>
      </c>
      <c r="C64" s="15">
        <f t="shared" si="5"/>
        <v>73739.721159778564</v>
      </c>
      <c r="D64" s="15">
        <f t="shared" si="8"/>
        <v>17086.382988449906</v>
      </c>
      <c r="E64" s="19">
        <v>0.91950854122885495</v>
      </c>
      <c r="F64" s="15">
        <f t="shared" si="9"/>
        <v>15711.075096587096</v>
      </c>
      <c r="G64" s="15">
        <f>IF(ISERROR(B63),NA(),SUM(F$45:F64))</f>
        <v>452575.31212261354</v>
      </c>
      <c r="M64" s="3">
        <f t="shared" si="3"/>
        <v>19</v>
      </c>
      <c r="N64" s="15">
        <f t="shared" si="6"/>
        <v>94808.212919715326</v>
      </c>
      <c r="O64" s="15">
        <f t="shared" si="4"/>
        <v>31335.347872148937</v>
      </c>
      <c r="P64" s="19">
        <v>0.95921134456779933</v>
      </c>
      <c r="Q64" s="15">
        <f t="shared" si="7"/>
        <v>30057.221164943712</v>
      </c>
      <c r="R64" s="15">
        <f>IF(ISERROR(M63),NA(),SUM(Q$45:Q64))</f>
        <v>699656.78825430374</v>
      </c>
    </row>
    <row r="65" spans="2:18">
      <c r="B65" s="3">
        <f t="shared" si="11"/>
        <v>20</v>
      </c>
      <c r="C65" s="15">
        <f t="shared" si="5"/>
        <v>76689.310006169704</v>
      </c>
      <c r="D65" s="15">
        <f t="shared" si="8"/>
        <v>16453.553988877688</v>
      </c>
      <c r="E65" s="19">
        <v>0.91171636045858384</v>
      </c>
      <c r="F65" s="15">
        <f t="shared" si="9"/>
        <v>15000.97435934838</v>
      </c>
      <c r="G65" s="15">
        <f>IF(ISERROR(B64),NA(),SUM(F$45:F65))</f>
        <v>467576.2864819619</v>
      </c>
      <c r="M65" s="3">
        <f t="shared" si="3"/>
        <v>20</v>
      </c>
      <c r="N65" s="15">
        <f t="shared" si="6"/>
        <v>98600.541436503947</v>
      </c>
      <c r="O65" s="15">
        <f t="shared" si="4"/>
        <v>30744.114893429149</v>
      </c>
      <c r="P65" s="19">
        <v>0.95504174694926136</v>
      </c>
      <c r="Q65" s="15">
        <f t="shared" si="7"/>
        <v>29361.91319622938</v>
      </c>
      <c r="R65" s="15">
        <f>IF(ISERROR(M64),NA(),SUM(Q$45:Q65))</f>
        <v>729018.70145053312</v>
      </c>
    </row>
    <row r="66" spans="2:18">
      <c r="B66" s="3" t="e">
        <f t="shared" si="11"/>
        <v>#N/A</v>
      </c>
      <c r="C66" s="15" t="e">
        <f t="shared" si="5"/>
        <v>#N/A</v>
      </c>
      <c r="D66" s="15" t="e">
        <f t="shared" si="8"/>
        <v>#N/A</v>
      </c>
      <c r="E66" s="19">
        <v>1</v>
      </c>
      <c r="F66" s="15" t="e">
        <f t="shared" si="9"/>
        <v>#N/A</v>
      </c>
      <c r="G66" s="15" t="e">
        <f>IF(ISERROR(B65),NA(),SUM(F$45:F66))</f>
        <v>#N/A</v>
      </c>
    </row>
    <row r="67" spans="2:18">
      <c r="B67" s="3" t="e">
        <f t="shared" si="11"/>
        <v>#N/A</v>
      </c>
      <c r="C67" s="15" t="e">
        <f t="shared" si="5"/>
        <v>#N/A</v>
      </c>
      <c r="D67" s="15" t="e">
        <f t="shared" si="8"/>
        <v>#N/A</v>
      </c>
      <c r="E67" s="19">
        <v>1</v>
      </c>
      <c r="F67" s="15" t="e">
        <f t="shared" si="9"/>
        <v>#N/A</v>
      </c>
      <c r="G67" s="15" t="e">
        <f>IF(ISERROR(B66),NA(),SUM(F$45:F67))</f>
        <v>#N/A</v>
      </c>
      <c r="L67" s="56"/>
      <c r="M67" s="56"/>
    </row>
    <row r="68" spans="2:18">
      <c r="B68" s="3" t="e">
        <f t="shared" si="11"/>
        <v>#N/A</v>
      </c>
      <c r="C68" s="15" t="e">
        <f t="shared" si="5"/>
        <v>#N/A</v>
      </c>
      <c r="D68" s="15" t="e">
        <f t="shared" si="8"/>
        <v>#N/A</v>
      </c>
      <c r="E68" s="19">
        <v>1</v>
      </c>
      <c r="F68" s="15" t="e">
        <f t="shared" si="9"/>
        <v>#N/A</v>
      </c>
      <c r="G68" s="15" t="e">
        <f>IF(ISERROR(B67),NA(),SUM(F$45:F68))</f>
        <v>#N/A</v>
      </c>
      <c r="L68" s="56"/>
      <c r="M68" s="56"/>
    </row>
    <row r="69" spans="2:18">
      <c r="B69" s="3" t="e">
        <f t="shared" si="11"/>
        <v>#N/A</v>
      </c>
      <c r="C69" s="15" t="e">
        <f t="shared" si="5"/>
        <v>#N/A</v>
      </c>
      <c r="D69" s="15" t="e">
        <f t="shared" si="8"/>
        <v>#N/A</v>
      </c>
      <c r="E69" s="19">
        <v>1</v>
      </c>
      <c r="F69" s="15" t="e">
        <f t="shared" si="9"/>
        <v>#N/A</v>
      </c>
      <c r="G69" s="15" t="e">
        <f>IF(ISERROR(B68),NA(),SUM(F$45:F69))</f>
        <v>#N/A</v>
      </c>
      <c r="L69" s="58"/>
      <c r="M69" s="56"/>
    </row>
    <row r="70" spans="2:18">
      <c r="B70" s="3" t="e">
        <f t="shared" si="11"/>
        <v>#N/A</v>
      </c>
      <c r="C70" s="15" t="e">
        <f t="shared" si="5"/>
        <v>#N/A</v>
      </c>
      <c r="D70" s="15" t="e">
        <f t="shared" ref="D70:D85" si="12">C70/(1+$G$42)^B70</f>
        <v>#N/A</v>
      </c>
      <c r="E70" s="19">
        <v>1</v>
      </c>
      <c r="F70" s="15" t="e">
        <f t="shared" ref="F70:F85" si="13">E70*D70</f>
        <v>#N/A</v>
      </c>
      <c r="G70" s="15" t="e">
        <f>IF(ISERROR(B69),NA(),SUM(F$45:F70))</f>
        <v>#N/A</v>
      </c>
      <c r="L70" s="58"/>
      <c r="M70" s="56"/>
    </row>
    <row r="71" spans="2:18">
      <c r="B71" s="3" t="e">
        <f t="shared" si="11"/>
        <v>#N/A</v>
      </c>
      <c r="C71" s="15" t="e">
        <f t="shared" si="5"/>
        <v>#N/A</v>
      </c>
      <c r="D71" s="15" t="e">
        <f t="shared" si="12"/>
        <v>#N/A</v>
      </c>
      <c r="E71" s="19">
        <v>1</v>
      </c>
      <c r="F71" s="15" t="e">
        <f t="shared" si="13"/>
        <v>#N/A</v>
      </c>
      <c r="G71" s="15" t="e">
        <f>IF(ISERROR(B70),NA(),SUM(F$45:F71))</f>
        <v>#N/A</v>
      </c>
      <c r="L71" s="58"/>
      <c r="M71" s="56"/>
    </row>
    <row r="72" spans="2:18">
      <c r="B72" s="3" t="e">
        <f t="shared" si="11"/>
        <v>#N/A</v>
      </c>
      <c r="C72" s="15" t="e">
        <f t="shared" si="5"/>
        <v>#N/A</v>
      </c>
      <c r="D72" s="15" t="e">
        <f t="shared" si="12"/>
        <v>#N/A</v>
      </c>
      <c r="E72" s="19">
        <v>1</v>
      </c>
      <c r="F72" s="15" t="e">
        <f t="shared" si="13"/>
        <v>#N/A</v>
      </c>
      <c r="G72" s="15" t="e">
        <f>IF(ISERROR(B71),NA(),SUM(F$45:F72))</f>
        <v>#N/A</v>
      </c>
      <c r="L72" s="58"/>
      <c r="M72" s="56"/>
      <c r="O72" s="22"/>
    </row>
    <row r="73" spans="2:18">
      <c r="B73" s="3" t="e">
        <f t="shared" si="11"/>
        <v>#N/A</v>
      </c>
      <c r="C73" s="15" t="e">
        <f t="shared" si="5"/>
        <v>#N/A</v>
      </c>
      <c r="D73" s="15" t="e">
        <f t="shared" si="12"/>
        <v>#N/A</v>
      </c>
      <c r="E73" s="19">
        <v>1</v>
      </c>
      <c r="F73" s="15" t="e">
        <f t="shared" si="13"/>
        <v>#N/A</v>
      </c>
      <c r="G73" s="15" t="e">
        <f>IF(ISERROR(B72),NA(),SUM(F$45:F73))</f>
        <v>#N/A</v>
      </c>
      <c r="L73" s="58"/>
      <c r="M73" s="56"/>
    </row>
    <row r="74" spans="2:18">
      <c r="B74" s="3" t="e">
        <f t="shared" si="11"/>
        <v>#N/A</v>
      </c>
      <c r="C74" s="15" t="e">
        <f t="shared" si="5"/>
        <v>#N/A</v>
      </c>
      <c r="D74" s="15" t="e">
        <f t="shared" si="12"/>
        <v>#N/A</v>
      </c>
      <c r="E74" s="19">
        <v>1</v>
      </c>
      <c r="F74" s="15" t="e">
        <f t="shared" si="13"/>
        <v>#N/A</v>
      </c>
      <c r="G74" s="15" t="e">
        <f>IF(ISERROR(B73),NA(),SUM(F$45:F74))</f>
        <v>#N/A</v>
      </c>
      <c r="L74" s="58"/>
      <c r="M74" s="56"/>
    </row>
    <row r="75" spans="2:18">
      <c r="B75" s="3" t="e">
        <f t="shared" si="11"/>
        <v>#N/A</v>
      </c>
      <c r="C75" s="15" t="e">
        <f t="shared" si="5"/>
        <v>#N/A</v>
      </c>
      <c r="D75" s="15" t="e">
        <f t="shared" si="12"/>
        <v>#N/A</v>
      </c>
      <c r="E75" s="19">
        <v>1</v>
      </c>
      <c r="F75" s="15" t="e">
        <f t="shared" si="13"/>
        <v>#N/A</v>
      </c>
      <c r="G75" s="15" t="e">
        <f>IF(ISERROR(B74),NA(),SUM(F$45:F75))</f>
        <v>#N/A</v>
      </c>
      <c r="L75" s="58"/>
      <c r="M75" s="56"/>
    </row>
    <row r="76" spans="2:18">
      <c r="B76" s="3" t="e">
        <f t="shared" si="11"/>
        <v>#N/A</v>
      </c>
      <c r="C76" s="15" t="e">
        <f t="shared" si="5"/>
        <v>#N/A</v>
      </c>
      <c r="D76" s="15" t="e">
        <f t="shared" si="12"/>
        <v>#N/A</v>
      </c>
      <c r="E76" s="19">
        <v>0.84499999999999997</v>
      </c>
      <c r="F76" s="15" t="e">
        <f t="shared" si="13"/>
        <v>#N/A</v>
      </c>
      <c r="G76" s="15" t="e">
        <f>IF(ISERROR(B75),NA(),SUM(F$45:F76))</f>
        <v>#N/A</v>
      </c>
      <c r="L76" s="58"/>
      <c r="M76" s="56"/>
    </row>
    <row r="77" spans="2:18">
      <c r="B77" s="3" t="e">
        <f t="shared" si="11"/>
        <v>#N/A</v>
      </c>
      <c r="C77" s="15" t="e">
        <f t="shared" si="5"/>
        <v>#N/A</v>
      </c>
      <c r="D77" s="15" t="e">
        <f t="shared" si="12"/>
        <v>#N/A</v>
      </c>
      <c r="E77" s="17">
        <v>0.84</v>
      </c>
      <c r="F77" s="15" t="e">
        <f t="shared" si="13"/>
        <v>#N/A</v>
      </c>
      <c r="G77" s="15" t="e">
        <f>IF(ISERROR(B76),NA(),SUM(F$45:F77))</f>
        <v>#N/A</v>
      </c>
      <c r="L77" s="58"/>
      <c r="M77" s="56"/>
    </row>
    <row r="78" spans="2:18">
      <c r="B78" s="3" t="e">
        <f t="shared" si="11"/>
        <v>#N/A</v>
      </c>
      <c r="C78" s="15" t="e">
        <f t="shared" si="5"/>
        <v>#N/A</v>
      </c>
      <c r="D78" s="15" t="e">
        <f t="shared" si="12"/>
        <v>#N/A</v>
      </c>
      <c r="E78" s="19">
        <v>0.83499999999999996</v>
      </c>
      <c r="F78" s="15" t="e">
        <f t="shared" si="13"/>
        <v>#N/A</v>
      </c>
      <c r="G78" s="15" t="e">
        <f>IF(ISERROR(B77),NA(),SUM(F$45:F78))</f>
        <v>#N/A</v>
      </c>
      <c r="L78" s="58"/>
      <c r="M78" s="56"/>
    </row>
    <row r="79" spans="2:18">
      <c r="B79" s="3" t="e">
        <f t="shared" si="11"/>
        <v>#N/A</v>
      </c>
      <c r="C79" s="15" t="e">
        <f t="shared" si="5"/>
        <v>#N/A</v>
      </c>
      <c r="D79" s="15" t="e">
        <f t="shared" si="12"/>
        <v>#N/A</v>
      </c>
      <c r="E79" s="17">
        <v>0.83</v>
      </c>
      <c r="F79" s="15" t="e">
        <f t="shared" si="13"/>
        <v>#N/A</v>
      </c>
      <c r="G79" s="15" t="e">
        <f>IF(ISERROR(B78),NA(),SUM(F$45:F79))</f>
        <v>#N/A</v>
      </c>
      <c r="L79" s="59"/>
      <c r="M79" s="56"/>
    </row>
    <row r="80" spans="2:18">
      <c r="B80" s="3" t="e">
        <f t="shared" si="11"/>
        <v>#N/A</v>
      </c>
      <c r="C80" s="15" t="e">
        <f t="shared" si="5"/>
        <v>#N/A</v>
      </c>
      <c r="D80" s="15" t="e">
        <f t="shared" si="12"/>
        <v>#N/A</v>
      </c>
      <c r="E80" s="19">
        <v>0.82499999999999996</v>
      </c>
      <c r="F80" s="15" t="e">
        <f t="shared" si="13"/>
        <v>#N/A</v>
      </c>
      <c r="G80" s="15" t="e">
        <f>IF(ISERROR(B79),NA(),SUM(F$45:F80))</f>
        <v>#N/A</v>
      </c>
      <c r="L80" s="56"/>
      <c r="M80" s="56"/>
    </row>
    <row r="81" spans="2:19">
      <c r="B81" s="3" t="e">
        <f t="shared" si="11"/>
        <v>#N/A</v>
      </c>
      <c r="C81" s="15" t="e">
        <f t="shared" si="5"/>
        <v>#N/A</v>
      </c>
      <c r="D81" s="15" t="e">
        <f t="shared" si="12"/>
        <v>#N/A</v>
      </c>
      <c r="E81" s="17">
        <v>0.82</v>
      </c>
      <c r="F81" s="15" t="e">
        <f t="shared" si="13"/>
        <v>#N/A</v>
      </c>
      <c r="G81" s="15" t="e">
        <f>IF(ISERROR(B80),NA(),SUM(F$45:F81))</f>
        <v>#N/A</v>
      </c>
      <c r="L81" s="56"/>
      <c r="M81" s="56"/>
    </row>
    <row r="82" spans="2:19">
      <c r="B82" s="3" t="e">
        <f t="shared" si="11"/>
        <v>#N/A</v>
      </c>
      <c r="C82" s="15" t="e">
        <f t="shared" si="5"/>
        <v>#N/A</v>
      </c>
      <c r="D82" s="15" t="e">
        <f t="shared" si="12"/>
        <v>#N/A</v>
      </c>
      <c r="E82" s="19">
        <v>0.81499999999999995</v>
      </c>
      <c r="F82" s="15" t="e">
        <f t="shared" si="13"/>
        <v>#N/A</v>
      </c>
      <c r="G82" s="15" t="e">
        <f>IF(ISERROR(B81),NA(),SUM(F$45:F82))</f>
        <v>#N/A</v>
      </c>
      <c r="L82" s="56"/>
      <c r="M82" s="56"/>
    </row>
    <row r="83" spans="2:19">
      <c r="B83" s="3" t="e">
        <f t="shared" si="11"/>
        <v>#N/A</v>
      </c>
      <c r="C83" s="15" t="e">
        <f t="shared" si="5"/>
        <v>#N/A</v>
      </c>
      <c r="D83" s="15" t="e">
        <f t="shared" si="12"/>
        <v>#N/A</v>
      </c>
      <c r="E83" s="17">
        <v>0.81</v>
      </c>
      <c r="F83" s="15" t="e">
        <f t="shared" si="13"/>
        <v>#N/A</v>
      </c>
      <c r="G83" s="15" t="e">
        <f>IF(ISERROR(B82),NA(),SUM(F$45:F83))</f>
        <v>#N/A</v>
      </c>
      <c r="L83" s="56"/>
      <c r="M83" s="56"/>
    </row>
    <row r="84" spans="2:19">
      <c r="B84" s="3" t="e">
        <f t="shared" si="11"/>
        <v>#N/A</v>
      </c>
      <c r="C84" s="15" t="e">
        <f t="shared" si="5"/>
        <v>#N/A</v>
      </c>
      <c r="D84" s="15" t="e">
        <f t="shared" si="12"/>
        <v>#N/A</v>
      </c>
      <c r="E84" s="19">
        <v>0.80500000000000005</v>
      </c>
      <c r="F84" s="15" t="e">
        <f t="shared" si="13"/>
        <v>#N/A</v>
      </c>
      <c r="G84" s="15" t="e">
        <f>IF(ISERROR(B83),NA(),SUM(F$45:F84))</f>
        <v>#N/A</v>
      </c>
      <c r="L84" s="56"/>
      <c r="M84" s="56"/>
    </row>
    <row r="85" spans="2:19">
      <c r="B85" s="3" t="e">
        <f t="shared" si="11"/>
        <v>#N/A</v>
      </c>
      <c r="C85" s="15" t="e">
        <f t="shared" si="5"/>
        <v>#N/A</v>
      </c>
      <c r="D85" s="15" t="e">
        <f t="shared" si="12"/>
        <v>#N/A</v>
      </c>
      <c r="E85" s="17">
        <v>0.8</v>
      </c>
      <c r="F85" s="15" t="e">
        <f t="shared" si="13"/>
        <v>#N/A</v>
      </c>
      <c r="G85" s="15" t="e">
        <f>IF(ISERROR(B84),NA(),SUM(F$45:F85))</f>
        <v>#N/A</v>
      </c>
      <c r="L85" s="56"/>
      <c r="M85" s="56"/>
    </row>
    <row r="86" spans="2:19">
      <c r="B86" s="3"/>
      <c r="C86" s="15"/>
      <c r="D86" s="15"/>
      <c r="E86" s="19"/>
      <c r="F86" s="15"/>
      <c r="L86" s="56"/>
      <c r="M86" s="56"/>
    </row>
    <row r="87" spans="2:19">
      <c r="F87" s="15"/>
      <c r="N87" s="56"/>
      <c r="O87" s="56"/>
      <c r="P87" s="56"/>
      <c r="Q87" s="56"/>
      <c r="R87" s="56"/>
      <c r="S87" s="56"/>
    </row>
    <row r="88" spans="2:19">
      <c r="N88" s="56"/>
      <c r="O88" s="56"/>
      <c r="P88" s="57"/>
      <c r="Q88" s="56"/>
      <c r="R88" s="56"/>
      <c r="S88" s="56"/>
    </row>
    <row r="89" spans="2:19">
      <c r="B89" s="71" t="s">
        <v>86</v>
      </c>
      <c r="C89" s="71"/>
      <c r="D89" s="71"/>
      <c r="M89" s="71" t="s">
        <v>86</v>
      </c>
      <c r="N89" s="71"/>
      <c r="O89" s="71"/>
      <c r="S89" s="56"/>
    </row>
    <row r="90" spans="2:19">
      <c r="B90" s="14" t="s">
        <v>255</v>
      </c>
      <c r="M90" s="14" t="s">
        <v>256</v>
      </c>
      <c r="S90" s="56"/>
    </row>
    <row r="91" spans="2:19">
      <c r="B91" t="s">
        <v>265</v>
      </c>
      <c r="C91">
        <v>20</v>
      </c>
      <c r="D91" s="15">
        <f>D36*0.7</f>
        <v>24500</v>
      </c>
      <c r="M91" t="s">
        <v>265</v>
      </c>
      <c r="N91">
        <v>20</v>
      </c>
      <c r="O91" s="15">
        <f>O36*0.7</f>
        <v>31499.999999999996</v>
      </c>
      <c r="S91" s="56"/>
    </row>
    <row r="92" spans="2:19">
      <c r="S92" s="56"/>
    </row>
    <row r="93" spans="2:19" ht="39.75" customHeight="1">
      <c r="B93" s="72" t="s">
        <v>81</v>
      </c>
      <c r="C93" s="73" t="s">
        <v>87</v>
      </c>
      <c r="D93" s="73" t="s">
        <v>88</v>
      </c>
      <c r="E93" s="73" t="s">
        <v>84</v>
      </c>
      <c r="F93" s="73" t="s">
        <v>89</v>
      </c>
      <c r="G93" s="73" t="s">
        <v>125</v>
      </c>
      <c r="M93" s="72" t="s">
        <v>81</v>
      </c>
      <c r="N93" s="73" t="s">
        <v>87</v>
      </c>
      <c r="O93" s="73" t="s">
        <v>88</v>
      </c>
      <c r="P93" s="73" t="s">
        <v>84</v>
      </c>
      <c r="Q93" s="73" t="s">
        <v>89</v>
      </c>
      <c r="R93" s="73" t="s">
        <v>125</v>
      </c>
      <c r="S93" s="56"/>
    </row>
    <row r="94" spans="2:19">
      <c r="B94" s="3">
        <v>0</v>
      </c>
      <c r="E94">
        <v>1</v>
      </c>
      <c r="M94" s="3">
        <v>0</v>
      </c>
      <c r="P94">
        <v>1</v>
      </c>
      <c r="S94" s="56"/>
    </row>
    <row r="95" spans="2:19">
      <c r="B95" s="3">
        <f t="shared" ref="B95:B133" si="14">IF(B94&gt;$C$91-1,NA(),B94+1)</f>
        <v>1</v>
      </c>
      <c r="C95" s="15">
        <f>IF(ISERROR(B95),NA(),D91*(1+$D$37))</f>
        <v>25480</v>
      </c>
      <c r="D95" s="15">
        <f>C95/(1+$G$42)^B95</f>
        <v>23592.592592592591</v>
      </c>
      <c r="E95" s="19">
        <v>0.99808576600570109</v>
      </c>
      <c r="F95" s="15">
        <f t="shared" ref="F95:F133" si="15">E95*D95</f>
        <v>23547.430849838205</v>
      </c>
      <c r="G95" s="15">
        <f>IF(ISERROR(B94),NA(),SUM(F$94:F95))</f>
        <v>23547.430849838205</v>
      </c>
      <c r="M95" s="3">
        <f t="shared" ref="M95:M114" si="16">IF(M94&gt;$C$91-1,NA(),M94+1)</f>
        <v>1</v>
      </c>
      <c r="N95" s="15">
        <f>IF(ISERROR(M95),NA(),O91*(1+$O$37))</f>
        <v>32129.999999999996</v>
      </c>
      <c r="O95" s="15">
        <f>N95/(1+$R$42)^M95</f>
        <v>30311.320754716977</v>
      </c>
      <c r="P95" s="19">
        <v>0.99910287386202612</v>
      </c>
      <c r="Q95" s="15">
        <f>P95*O95</f>
        <v>30284.127676591412</v>
      </c>
      <c r="R95" s="15">
        <f>IF(ISERROR(M94),NA(),SUM(Q$94:Q95))</f>
        <v>30284.127676591412</v>
      </c>
      <c r="S95" s="56"/>
    </row>
    <row r="96" spans="2:19">
      <c r="B96" s="3">
        <f t="shared" si="14"/>
        <v>2</v>
      </c>
      <c r="C96" s="15">
        <f>IF(ISERROR(B96),NA(),C95*(1+$D$37))</f>
        <v>26499.200000000001</v>
      </c>
      <c r="D96" s="15">
        <f t="shared" ref="D96:D133" si="17">C96/(1+$G$42)^B96</f>
        <v>22718.792866941014</v>
      </c>
      <c r="E96" s="19">
        <v>0.99602588377270551</v>
      </c>
      <c r="F96" s="15">
        <f t="shared" si="15"/>
        <v>22628.505743543963</v>
      </c>
      <c r="G96" s="15">
        <f>IF(ISERROR(B95),NA(),SUM(F$94:F96))</f>
        <v>46175.936593382168</v>
      </c>
      <c r="M96" s="3">
        <f t="shared" si="16"/>
        <v>2</v>
      </c>
      <c r="N96" s="15">
        <f>IF(ISERROR(M96),NA(),N95*(1+$D$37))</f>
        <v>33415.199999999997</v>
      </c>
      <c r="O96" s="15">
        <f t="shared" ref="O96:O114" si="18">N96/(1+$R$42)^M96</f>
        <v>29739.409042363823</v>
      </c>
      <c r="P96" s="19">
        <v>0.99812419080241821</v>
      </c>
      <c r="Q96" s="15">
        <f t="shared" ref="Q96:Q114" si="19">P96*O96</f>
        <v>29683.62358535151</v>
      </c>
      <c r="R96" s="15">
        <f>IF(ISERROR(M95),NA(),SUM(Q$94:Q96))</f>
        <v>59967.751261942918</v>
      </c>
      <c r="S96" s="56"/>
    </row>
    <row r="97" spans="2:19">
      <c r="B97" s="3">
        <f t="shared" si="14"/>
        <v>3</v>
      </c>
      <c r="C97" s="15">
        <f>IF(ISERROR(B97),NA(),C96*(1+$D$37))</f>
        <v>27559.168000000001</v>
      </c>
      <c r="D97" s="15">
        <f t="shared" si="17"/>
        <v>21877.356094091345</v>
      </c>
      <c r="E97" s="19">
        <v>0.99379954640977086</v>
      </c>
      <c r="F97" s="15">
        <f t="shared" si="15"/>
        <v>21741.706562953015</v>
      </c>
      <c r="G97" s="15">
        <f>IF(ISERROR(B96),NA(),SUM(F$94:F97))</f>
        <v>67917.64315633518</v>
      </c>
      <c r="M97" s="3">
        <f t="shared" si="16"/>
        <v>3</v>
      </c>
      <c r="N97" s="15">
        <f>IF(ISERROR(M97),NA(),N96*(1+$D$37))</f>
        <v>34751.807999999997</v>
      </c>
      <c r="O97" s="15">
        <f t="shared" si="18"/>
        <v>29178.288117036202</v>
      </c>
      <c r="P97" s="19">
        <v>0.99705375620597203</v>
      </c>
      <c r="Q97" s="15">
        <f t="shared" si="19"/>
        <v>29092.321766751025</v>
      </c>
      <c r="R97" s="15">
        <f>IF(ISERROR(M96),NA(),SUM(Q$94:Q97))</f>
        <v>89060.073028693936</v>
      </c>
      <c r="S97" s="56"/>
    </row>
    <row r="98" spans="2:19">
      <c r="B98" s="3">
        <f t="shared" si="14"/>
        <v>4</v>
      </c>
      <c r="C98" s="15">
        <f t="shared" ref="C98:C133" si="20">IF(ISERROR(B98),NA(),C97*(1+$D$37))</f>
        <v>28661.534720000003</v>
      </c>
      <c r="D98" s="15">
        <f t="shared" si="17"/>
        <v>21067.083646162035</v>
      </c>
      <c r="E98" s="19">
        <v>0.99138594702565486</v>
      </c>
      <c r="F98" s="15">
        <f t="shared" si="15"/>
        <v>20885.610671619033</v>
      </c>
      <c r="G98" s="15">
        <f>IF(ISERROR(B97),NA(),SUM(F$94:F98))</f>
        <v>88803.253827954206</v>
      </c>
      <c r="M98" s="3">
        <f t="shared" si="16"/>
        <v>4</v>
      </c>
      <c r="N98" s="15">
        <f t="shared" ref="N98:N114" si="21">IF(ISERROR(M98),NA(),N97*(1+$D$37))</f>
        <v>36141.880319999997</v>
      </c>
      <c r="O98" s="15">
        <f t="shared" si="18"/>
        <v>28627.754378978916</v>
      </c>
      <c r="P98" s="19">
        <v>0.9958711808422791</v>
      </c>
      <c r="Q98" s="15">
        <f t="shared" si="19"/>
        <v>28509.555558256459</v>
      </c>
      <c r="R98" s="15">
        <f>IF(ISERROR(M97),NA(),SUM(Q$94:Q98))</f>
        <v>117569.62858695039</v>
      </c>
      <c r="S98" s="56"/>
    </row>
    <row r="99" spans="2:19">
      <c r="B99" s="3">
        <f t="shared" si="14"/>
        <v>5</v>
      </c>
      <c r="C99" s="15">
        <f t="shared" si="20"/>
        <v>29807.996108800005</v>
      </c>
      <c r="D99" s="15">
        <f t="shared" si="17"/>
        <v>20286.821288896776</v>
      </c>
      <c r="E99" s="19">
        <v>0.9887850856203575</v>
      </c>
      <c r="F99" s="15">
        <f t="shared" si="15"/>
        <v>20059.306325106689</v>
      </c>
      <c r="G99" s="15">
        <f>IF(ISERROR(B98),NA(),SUM(F$94:F99))</f>
        <v>108862.5601530609</v>
      </c>
      <c r="M99" s="3">
        <f t="shared" si="16"/>
        <v>5</v>
      </c>
      <c r="N99" s="15">
        <f t="shared" si="21"/>
        <v>37587.555532799997</v>
      </c>
      <c r="O99" s="15">
        <f t="shared" si="18"/>
        <v>28087.608069941572</v>
      </c>
      <c r="P99" s="19">
        <v>0.99457646471133943</v>
      </c>
      <c r="Q99" s="15">
        <f t="shared" si="19"/>
        <v>27935.273936400175</v>
      </c>
      <c r="R99" s="15">
        <f>IF(ISERROR(M98),NA(),SUM(Q$94:Q99))</f>
        <v>145504.90252335055</v>
      </c>
      <c r="S99" s="56"/>
    </row>
    <row r="100" spans="2:19">
      <c r="B100" s="3">
        <f t="shared" si="14"/>
        <v>6</v>
      </c>
      <c r="C100" s="15">
        <f t="shared" si="20"/>
        <v>31000.315953152007</v>
      </c>
      <c r="D100" s="15">
        <f t="shared" si="17"/>
        <v>19535.457537456154</v>
      </c>
      <c r="E100" s="19">
        <v>0.98595534841139387</v>
      </c>
      <c r="F100" s="15">
        <f t="shared" si="15"/>
        <v>19261.088842718571</v>
      </c>
      <c r="G100" s="15">
        <f>IF(ISERROR(B99),NA(),SUM(F$94:F100))</f>
        <v>128123.64899577947</v>
      </c>
      <c r="M100" s="3">
        <f t="shared" si="16"/>
        <v>6</v>
      </c>
      <c r="N100" s="15">
        <f t="shared" si="21"/>
        <v>39091.057754112</v>
      </c>
      <c r="O100" s="15">
        <f t="shared" si="18"/>
        <v>27557.653200697394</v>
      </c>
      <c r="P100" s="19">
        <v>0.99313902396754039</v>
      </c>
      <c r="Q100" s="15">
        <f t="shared" si="19"/>
        <v>27368.580802576576</v>
      </c>
      <c r="R100" s="15">
        <f>IF(ISERROR(M99),NA(),SUM(Q$94:Q100))</f>
        <v>172873.48332592714</v>
      </c>
      <c r="S100" s="56"/>
    </row>
    <row r="101" spans="2:19">
      <c r="B101" s="3">
        <f t="shared" si="14"/>
        <v>7</v>
      </c>
      <c r="C101" s="15">
        <f t="shared" si="20"/>
        <v>32240.328591278088</v>
      </c>
      <c r="D101" s="15">
        <f t="shared" si="17"/>
        <v>18811.922073105925</v>
      </c>
      <c r="E101" s="19">
        <v>0.9828655250619005</v>
      </c>
      <c r="F101" s="15">
        <f t="shared" si="15"/>
        <v>18489.589665806812</v>
      </c>
      <c r="G101" s="15">
        <f>IF(ISERROR(B100),NA(),SUM(F$94:F101))</f>
        <v>146613.23866158628</v>
      </c>
      <c r="M101" s="3">
        <f t="shared" si="16"/>
        <v>7</v>
      </c>
      <c r="N101" s="15">
        <f t="shared" si="21"/>
        <v>40654.700064276483</v>
      </c>
      <c r="O101" s="15">
        <f t="shared" si="18"/>
        <v>27037.697479929517</v>
      </c>
      <c r="P101" s="19">
        <v>0.99156905322608602</v>
      </c>
      <c r="Q101" s="15">
        <f t="shared" si="19"/>
        <v>26809.744091587043</v>
      </c>
      <c r="R101" s="15">
        <f>IF(ISERROR(M100),NA(),SUM(Q$94:Q101))</f>
        <v>199683.22741751419</v>
      </c>
      <c r="S101" s="56"/>
    </row>
    <row r="102" spans="2:19">
      <c r="B102" s="3">
        <f t="shared" si="14"/>
        <v>8</v>
      </c>
      <c r="C102" s="15">
        <f t="shared" si="20"/>
        <v>33529.941734929213</v>
      </c>
      <c r="D102" s="15">
        <f t="shared" si="17"/>
        <v>18115.184218546448</v>
      </c>
      <c r="E102" s="19">
        <v>0.97951561557187738</v>
      </c>
      <c r="F102" s="15">
        <f t="shared" si="15"/>
        <v>17744.105821027482</v>
      </c>
      <c r="G102" s="15">
        <f>IF(ISERROR(B101),NA(),SUM(F$94:F102))</f>
        <v>164357.34448261376</v>
      </c>
      <c r="M102" s="3">
        <f t="shared" si="16"/>
        <v>8</v>
      </c>
      <c r="N102" s="15">
        <f t="shared" si="21"/>
        <v>42280.888066847547</v>
      </c>
      <c r="O102" s="15">
        <f t="shared" si="18"/>
        <v>26527.552244459155</v>
      </c>
      <c r="P102" s="19">
        <v>0.98985635787177217</v>
      </c>
      <c r="Q102" s="15">
        <f t="shared" si="19"/>
        <v>26258.466247953496</v>
      </c>
      <c r="R102" s="15">
        <f>IF(ISERROR(M101),NA(),SUM(Q$94:Q102))</f>
        <v>225941.6936654677</v>
      </c>
      <c r="S102" s="56"/>
    </row>
    <row r="103" spans="2:19">
      <c r="B103" s="3">
        <f t="shared" si="14"/>
        <v>9</v>
      </c>
      <c r="C103" s="15">
        <f t="shared" si="20"/>
        <v>34871.139404326379</v>
      </c>
      <c r="D103" s="15">
        <f t="shared" si="17"/>
        <v>17444.251469711391</v>
      </c>
      <c r="E103" s="19">
        <v>0.97585360271321864</v>
      </c>
      <c r="F103" s="15">
        <f t="shared" si="15"/>
        <v>17023.035643353222</v>
      </c>
      <c r="G103" s="15">
        <f>IF(ISERROR(B102),NA(),SUM(F$94:F103))</f>
        <v>181380.38012596697</v>
      </c>
      <c r="M103" s="3">
        <f t="shared" si="16"/>
        <v>9</v>
      </c>
      <c r="N103" s="15">
        <f t="shared" si="21"/>
        <v>43972.123589521449</v>
      </c>
      <c r="O103" s="15">
        <f t="shared" si="18"/>
        <v>26027.032390790115</v>
      </c>
      <c r="P103" s="19">
        <v>0.98798054867419027</v>
      </c>
      <c r="Q103" s="15">
        <f t="shared" si="19"/>
        <v>25714.20174181374</v>
      </c>
      <c r="R103" s="15">
        <f>IF(ISERROR(M102),NA(),SUM(Q$94:Q103))</f>
        <v>251655.89540728144</v>
      </c>
      <c r="S103" s="56"/>
    </row>
    <row r="104" spans="2:19">
      <c r="B104" s="3">
        <f t="shared" si="14"/>
        <v>10</v>
      </c>
      <c r="C104" s="15">
        <f t="shared" si="20"/>
        <v>36265.984980499437</v>
      </c>
      <c r="D104" s="15">
        <f t="shared" si="17"/>
        <v>16798.168081944303</v>
      </c>
      <c r="E104" s="19">
        <v>0.97188988993154535</v>
      </c>
      <c r="F104" s="15">
        <f t="shared" si="15"/>
        <v>16325.969728212447</v>
      </c>
      <c r="G104" s="15">
        <f>IF(ISERROR(B103),NA(),SUM(F$94:F104))</f>
        <v>197706.34985417943</v>
      </c>
      <c r="M104" s="3">
        <f t="shared" si="16"/>
        <v>10</v>
      </c>
      <c r="N104" s="15">
        <f t="shared" si="21"/>
        <v>45731.008533102307</v>
      </c>
      <c r="O104" s="15">
        <f t="shared" si="18"/>
        <v>25535.956307945016</v>
      </c>
      <c r="P104" s="19">
        <v>0.98595182024854466</v>
      </c>
      <c r="Q104" s="15">
        <f t="shared" si="19"/>
        <v>25177.222603605696</v>
      </c>
      <c r="R104" s="15">
        <f>IF(ISERROR(M103),NA(),SUM(Q$94:Q104))</f>
        <v>276833.11801088712</v>
      </c>
      <c r="S104" s="56"/>
    </row>
    <row r="105" spans="2:19">
      <c r="B105" s="3">
        <f t="shared" si="14"/>
        <v>11</v>
      </c>
      <c r="C105" s="15">
        <f t="shared" si="20"/>
        <v>37716.624379719418</v>
      </c>
      <c r="D105" s="15">
        <f t="shared" si="17"/>
        <v>16176.013708538962</v>
      </c>
      <c r="E105" s="19">
        <v>0.96758286344437283</v>
      </c>
      <c r="F105" s="15">
        <f t="shared" si="15"/>
        <v>15651.633663223556</v>
      </c>
      <c r="G105" s="15">
        <f>IF(ISERROR(B104),NA(),SUM(F$94:F105))</f>
        <v>213357.98351740299</v>
      </c>
      <c r="M105" s="3">
        <f t="shared" si="16"/>
        <v>11</v>
      </c>
      <c r="N105" s="15">
        <f t="shared" si="21"/>
        <v>47560.248874426405</v>
      </c>
      <c r="O105" s="15">
        <f t="shared" si="18"/>
        <v>25054.145811568691</v>
      </c>
      <c r="P105" s="19">
        <v>0.98373958874922263</v>
      </c>
      <c r="Q105" s="15">
        <f t="shared" si="19"/>
        <v>24646.755097135643</v>
      </c>
      <c r="R105" s="15">
        <f>IF(ISERROR(M104),NA(),SUM(Q$94:Q105))</f>
        <v>301479.87310802279</v>
      </c>
      <c r="S105" s="56"/>
    </row>
    <row r="106" spans="2:19">
      <c r="B106" s="3">
        <f t="shared" si="14"/>
        <v>12</v>
      </c>
      <c r="C106" s="15">
        <f t="shared" si="20"/>
        <v>39225.2893549082</v>
      </c>
      <c r="D106" s="15">
        <f t="shared" si="17"/>
        <v>15576.902089704185</v>
      </c>
      <c r="E106" s="19">
        <v>0.96294292669732218</v>
      </c>
      <c r="F106" s="15">
        <f t="shared" si="15"/>
        <v>14999.667687137382</v>
      </c>
      <c r="G106" s="15">
        <f>IF(ISERROR(B105),NA(),SUM(F$94:F106))</f>
        <v>228357.65120454037</v>
      </c>
      <c r="M106" s="3">
        <f t="shared" si="16"/>
        <v>12</v>
      </c>
      <c r="N106" s="15">
        <f t="shared" si="21"/>
        <v>49462.658829403459</v>
      </c>
      <c r="O106" s="15">
        <f t="shared" si="18"/>
        <v>24581.426079274941</v>
      </c>
      <c r="P106" s="19">
        <v>0.98133365956101992</v>
      </c>
      <c r="Q106" s="15">
        <f t="shared" si="19"/>
        <v>24122.580811603573</v>
      </c>
      <c r="R106" s="15">
        <f>IF(ISERROR(M105),NA(),SUM(Q$94:Q106))</f>
        <v>325602.45391962636</v>
      </c>
      <c r="S106" s="56"/>
    </row>
    <row r="107" spans="2:19">
      <c r="B107" s="3">
        <f t="shared" si="14"/>
        <v>13</v>
      </c>
      <c r="C107" s="15">
        <f t="shared" si="20"/>
        <v>40794.300929104531</v>
      </c>
      <c r="D107" s="15">
        <f t="shared" si="17"/>
        <v>14999.979790085514</v>
      </c>
      <c r="E107" s="19">
        <v>0.9579180624622875</v>
      </c>
      <c r="F107" s="15">
        <f t="shared" si="15"/>
        <v>14368.751577492185</v>
      </c>
      <c r="G107" s="15">
        <f>IF(ISERROR(B106),NA(),SUM(F$94:F107))</f>
        <v>242726.40278203256</v>
      </c>
      <c r="M107" s="3">
        <f t="shared" si="16"/>
        <v>13</v>
      </c>
      <c r="N107" s="15">
        <f t="shared" si="21"/>
        <v>51441.1651825796</v>
      </c>
      <c r="O107" s="15">
        <f t="shared" si="18"/>
        <v>24117.625587213148</v>
      </c>
      <c r="P107" s="19">
        <v>0.97875442191434481</v>
      </c>
      <c r="Q107" s="15">
        <f t="shared" si="19"/>
        <v>23605.232689559416</v>
      </c>
      <c r="R107" s="15">
        <f>IF(ISERROR(M106),NA(),SUM(Q$94:Q107))</f>
        <v>349207.68660918577</v>
      </c>
      <c r="S107" s="56"/>
    </row>
    <row r="108" spans="2:19">
      <c r="B108" s="3">
        <f t="shared" si="14"/>
        <v>14</v>
      </c>
      <c r="C108" s="15">
        <f t="shared" si="20"/>
        <v>42426.072966268715</v>
      </c>
      <c r="D108" s="15">
        <f t="shared" si="17"/>
        <v>14444.424983045308</v>
      </c>
      <c r="E108" s="19">
        <v>0.9525082707392688</v>
      </c>
      <c r="F108" s="15">
        <f t="shared" si="15"/>
        <v>13758.434262423578</v>
      </c>
      <c r="G108" s="15">
        <f>IF(ISERROR(B107),NA(),SUM(F$94:F108))</f>
        <v>256484.83704445613</v>
      </c>
      <c r="M108" s="3">
        <f t="shared" si="16"/>
        <v>14</v>
      </c>
      <c r="N108" s="15">
        <f t="shared" si="21"/>
        <v>53498.811789882784</v>
      </c>
      <c r="O108" s="15">
        <f t="shared" si="18"/>
        <v>23662.576047831772</v>
      </c>
      <c r="P108" s="19">
        <v>0.97599168119399338</v>
      </c>
      <c r="Q108" s="15">
        <f t="shared" si="19"/>
        <v>23094.477378304051</v>
      </c>
      <c r="R108" s="15">
        <f>IF(ISERROR(M107),NA(),SUM(Q$94:Q108))</f>
        <v>372302.16398748982</v>
      </c>
      <c r="S108" s="56"/>
    </row>
    <row r="109" spans="2:19">
      <c r="B109" s="3">
        <f t="shared" si="14"/>
        <v>15</v>
      </c>
      <c r="C109" s="15">
        <f t="shared" si="20"/>
        <v>44123.115884919469</v>
      </c>
      <c r="D109" s="15">
        <f t="shared" si="17"/>
        <v>13909.446279969556</v>
      </c>
      <c r="E109" s="19">
        <v>0.9466615343001602</v>
      </c>
      <c r="F109" s="15">
        <f t="shared" si="15"/>
        <v>13167.537756661635</v>
      </c>
      <c r="G109" s="15">
        <f>IF(ISERROR(B108),NA(),SUM(F$94:F109))</f>
        <v>269652.37480111775</v>
      </c>
      <c r="M109" s="3">
        <f t="shared" si="16"/>
        <v>15</v>
      </c>
      <c r="N109" s="15">
        <f t="shared" si="21"/>
        <v>55638.7642614781</v>
      </c>
      <c r="O109" s="15">
        <f t="shared" si="18"/>
        <v>23216.11234881607</v>
      </c>
      <c r="P109" s="19">
        <v>0.97306582663037389</v>
      </c>
      <c r="Q109" s="15">
        <f t="shared" si="19"/>
        <v>22590.80555384434</v>
      </c>
      <c r="R109" s="15">
        <f>IF(ISERROR(M108),NA(),SUM(Q$94:Q109))</f>
        <v>394892.96954133414</v>
      </c>
      <c r="S109" s="56"/>
    </row>
    <row r="110" spans="2:19">
      <c r="B110" s="3">
        <f t="shared" si="14"/>
        <v>16</v>
      </c>
      <c r="C110" s="15">
        <f t="shared" si="20"/>
        <v>45888.040520316252</v>
      </c>
      <c r="D110" s="15">
        <f t="shared" si="17"/>
        <v>13394.281602933648</v>
      </c>
      <c r="E110" s="19">
        <v>0.94041946692744638</v>
      </c>
      <c r="F110" s="15">
        <f t="shared" si="15"/>
        <v>12596.243164906964</v>
      </c>
      <c r="G110" s="15">
        <f>IF(ISERROR(B109),NA(),SUM(F$94:F110))</f>
        <v>282248.61796602473</v>
      </c>
      <c r="M110" s="3">
        <f t="shared" si="16"/>
        <v>16</v>
      </c>
      <c r="N110" s="15">
        <f t="shared" si="21"/>
        <v>57864.314831937227</v>
      </c>
      <c r="O110" s="15">
        <f t="shared" si="18"/>
        <v>22778.072493178039</v>
      </c>
      <c r="P110" s="19">
        <v>0.96995646899307786</v>
      </c>
      <c r="Q110" s="15">
        <f t="shared" si="19"/>
        <v>22093.738765951322</v>
      </c>
      <c r="R110" s="15">
        <f>IF(ISERROR(M109),NA(),SUM(Q$94:Q110))</f>
        <v>416986.70830728544</v>
      </c>
      <c r="S110" s="56"/>
    </row>
    <row r="111" spans="2:19">
      <c r="B111" s="3">
        <f t="shared" si="14"/>
        <v>17</v>
      </c>
      <c r="C111" s="15">
        <f t="shared" si="20"/>
        <v>47723.562141128903</v>
      </c>
      <c r="D111" s="15">
        <f t="shared" si="17"/>
        <v>12898.197099121291</v>
      </c>
      <c r="E111" s="19">
        <v>0.93381327895799093</v>
      </c>
      <c r="F111" s="15">
        <f t="shared" si="15"/>
        <v>12044.507725776899</v>
      </c>
      <c r="G111" s="15">
        <f>IF(ISERROR(B110),NA(),SUM(F$94:F111))</f>
        <v>294293.1256918016</v>
      </c>
      <c r="M111" s="3">
        <f t="shared" si="16"/>
        <v>17</v>
      </c>
      <c r="N111" s="15">
        <f t="shared" si="21"/>
        <v>60178.887425214714</v>
      </c>
      <c r="O111" s="15">
        <f t="shared" si="18"/>
        <v>22348.297540476564</v>
      </c>
      <c r="P111" s="19">
        <v>0.96663302443649268</v>
      </c>
      <c r="Q111" s="15">
        <f t="shared" si="19"/>
        <v>21602.602442557491</v>
      </c>
      <c r="R111" s="15">
        <f>IF(ISERROR(M110),NA(),SUM(Q$94:Q111))</f>
        <v>438589.31074984296</v>
      </c>
      <c r="S111" s="56"/>
    </row>
    <row r="112" spans="2:19">
      <c r="B112" s="3">
        <f t="shared" si="14"/>
        <v>18</v>
      </c>
      <c r="C112" s="15">
        <f t="shared" si="20"/>
        <v>49632.504626774062</v>
      </c>
      <c r="D112" s="15">
        <f t="shared" si="17"/>
        <v>12420.486095450131</v>
      </c>
      <c r="E112" s="19">
        <v>0.92684297039179375</v>
      </c>
      <c r="F112" s="15">
        <f t="shared" si="15"/>
        <v>11511.840226416971</v>
      </c>
      <c r="G112" s="15">
        <f>IF(ISERROR(B111),NA(),SUM(F$94:F112))</f>
        <v>305804.9659182186</v>
      </c>
      <c r="M112" s="3">
        <f t="shared" si="16"/>
        <v>18</v>
      </c>
      <c r="N112" s="15">
        <f t="shared" si="21"/>
        <v>62586.042922223307</v>
      </c>
      <c r="O112" s="15">
        <f t="shared" si="18"/>
        <v>21926.631549146819</v>
      </c>
      <c r="P112" s="19">
        <v>0.96305471449980118</v>
      </c>
      <c r="Q112" s="15">
        <f t="shared" si="19"/>
        <v>21116.545886505923</v>
      </c>
      <c r="R112" s="15">
        <f>IF(ISERROR(M111),NA(),SUM(Q$94:Q112))</f>
        <v>459705.85663634888</v>
      </c>
      <c r="S112" s="56"/>
    </row>
    <row r="113" spans="2:19">
      <c r="B113" s="3">
        <f t="shared" si="14"/>
        <v>19</v>
      </c>
      <c r="C113" s="15">
        <f>IF(ISERROR(B113),NA(),C112*(1+$D$37))</f>
        <v>51617.804811845024</v>
      </c>
      <c r="D113" s="15">
        <f t="shared" si="17"/>
        <v>11960.46809191494</v>
      </c>
      <c r="E113" s="19">
        <v>0.91950854122885495</v>
      </c>
      <c r="F113" s="15">
        <f t="shared" si="15"/>
        <v>10997.752567610973</v>
      </c>
      <c r="G113" s="15">
        <f>IF(ISERROR(B112),NA(),SUM(F$94:F113))</f>
        <v>316802.7184858296</v>
      </c>
      <c r="M113" s="3">
        <f t="shared" si="16"/>
        <v>19</v>
      </c>
      <c r="N113" s="15">
        <f t="shared" si="21"/>
        <v>65089.484639112241</v>
      </c>
      <c r="O113" s="15">
        <f t="shared" si="18"/>
        <v>21512.921519917632</v>
      </c>
      <c r="P113" s="19">
        <v>0.95921134456779933</v>
      </c>
      <c r="Q113" s="15">
        <f t="shared" si="19"/>
        <v>20635.438376701739</v>
      </c>
      <c r="R113" s="15">
        <f>IF(ISERROR(M112),NA(),SUM(Q$94:Q113))</f>
        <v>480341.29501305061</v>
      </c>
      <c r="S113" s="56"/>
    </row>
    <row r="114" spans="2:19">
      <c r="B114" s="3">
        <f t="shared" si="14"/>
        <v>20</v>
      </c>
      <c r="C114" s="15">
        <f t="shared" si="20"/>
        <v>53682.517004318826</v>
      </c>
      <c r="D114" s="15">
        <f t="shared" si="17"/>
        <v>11517.487792214388</v>
      </c>
      <c r="E114" s="19">
        <v>0.91171636045858384</v>
      </c>
      <c r="F114" s="15">
        <f t="shared" si="15"/>
        <v>10500.682051543872</v>
      </c>
      <c r="G114" s="15">
        <f>IF(ISERROR(B113),NA(),SUM(F$94:F114))</f>
        <v>327303.40053737344</v>
      </c>
      <c r="M114" s="3">
        <f t="shared" si="16"/>
        <v>20</v>
      </c>
      <c r="N114" s="15">
        <f t="shared" si="21"/>
        <v>67693.064024676729</v>
      </c>
      <c r="O114" s="15">
        <f t="shared" si="18"/>
        <v>21107.017340296545</v>
      </c>
      <c r="P114" s="19">
        <v>0.95504174694926136</v>
      </c>
      <c r="Q114" s="15">
        <f t="shared" si="19"/>
        <v>20158.082713565163</v>
      </c>
      <c r="R114" s="15">
        <f>IF(ISERROR(M113),NA(),SUM(Q$94:Q114))</f>
        <v>500499.37772661576</v>
      </c>
      <c r="S114" s="56"/>
    </row>
    <row r="115" spans="2:19">
      <c r="B115" s="118" t="e">
        <f t="shared" si="14"/>
        <v>#N/A</v>
      </c>
      <c r="C115" s="119" t="e">
        <f t="shared" si="20"/>
        <v>#N/A</v>
      </c>
      <c r="D115" s="119" t="e">
        <f t="shared" si="17"/>
        <v>#N/A</v>
      </c>
      <c r="E115" s="120">
        <v>1</v>
      </c>
      <c r="F115" s="119" t="e">
        <f t="shared" si="15"/>
        <v>#N/A</v>
      </c>
      <c r="G115" s="119" t="e">
        <f>IF(ISERROR(B114),NA(),SUM(F$94:F115))</f>
        <v>#N/A</v>
      </c>
      <c r="M115" s="3"/>
      <c r="N115" s="56"/>
      <c r="O115" s="56"/>
      <c r="P115" s="56"/>
      <c r="Q115" s="56"/>
      <c r="R115" s="56"/>
      <c r="S115" s="56"/>
    </row>
    <row r="116" spans="2:19">
      <c r="B116" s="118" t="e">
        <f t="shared" si="14"/>
        <v>#N/A</v>
      </c>
      <c r="C116" s="119" t="e">
        <f t="shared" si="20"/>
        <v>#N/A</v>
      </c>
      <c r="D116" s="119" t="e">
        <f t="shared" si="17"/>
        <v>#N/A</v>
      </c>
      <c r="E116" s="120">
        <v>1</v>
      </c>
      <c r="F116" s="119" t="e">
        <f t="shared" si="15"/>
        <v>#N/A</v>
      </c>
      <c r="G116" s="119" t="e">
        <f>IF(ISERROR(B115),NA(),SUM(F$94:F116))</f>
        <v>#N/A</v>
      </c>
      <c r="M116" s="3"/>
      <c r="N116" s="57"/>
      <c r="O116" s="56"/>
      <c r="P116" s="56"/>
      <c r="Q116" s="56"/>
      <c r="R116" s="56"/>
      <c r="S116" s="56"/>
    </row>
    <row r="117" spans="2:19">
      <c r="B117" s="118" t="e">
        <f t="shared" si="14"/>
        <v>#N/A</v>
      </c>
      <c r="C117" s="119" t="e">
        <f t="shared" si="20"/>
        <v>#N/A</v>
      </c>
      <c r="D117" s="119" t="e">
        <f t="shared" si="17"/>
        <v>#N/A</v>
      </c>
      <c r="E117" s="120">
        <v>1</v>
      </c>
      <c r="F117" s="119" t="e">
        <f t="shared" si="15"/>
        <v>#N/A</v>
      </c>
      <c r="G117" s="119" t="e">
        <f>IF(ISERROR(B116),NA(),SUM(F$94:F117))</f>
        <v>#N/A</v>
      </c>
      <c r="M117" s="3"/>
      <c r="N117" s="56"/>
      <c r="O117" s="56"/>
      <c r="P117" s="56"/>
      <c r="Q117" s="56"/>
      <c r="R117" s="56"/>
      <c r="S117" s="56"/>
    </row>
    <row r="118" spans="2:19">
      <c r="B118" s="118" t="e">
        <f t="shared" si="14"/>
        <v>#N/A</v>
      </c>
      <c r="C118" s="119" t="e">
        <f>IF(ISERROR(B118),NA(),C117*(1+$D$37))</f>
        <v>#N/A</v>
      </c>
      <c r="D118" s="119" t="e">
        <f t="shared" si="17"/>
        <v>#N/A</v>
      </c>
      <c r="E118" s="120">
        <v>1</v>
      </c>
      <c r="F118" s="119" t="e">
        <f t="shared" si="15"/>
        <v>#N/A</v>
      </c>
      <c r="G118" s="119" t="e">
        <f>IF(ISERROR(B117),NA(),SUM(F$94:F118))</f>
        <v>#N/A</v>
      </c>
      <c r="M118" s="3"/>
      <c r="N118" s="56"/>
      <c r="P118" s="56"/>
      <c r="Q118" s="56"/>
      <c r="R118" s="56"/>
      <c r="S118" s="56"/>
    </row>
    <row r="119" spans="2:19">
      <c r="B119" s="118" t="e">
        <f t="shared" si="14"/>
        <v>#N/A</v>
      </c>
      <c r="C119" s="119" t="e">
        <f t="shared" si="20"/>
        <v>#N/A</v>
      </c>
      <c r="D119" s="119" t="e">
        <f t="shared" si="17"/>
        <v>#N/A</v>
      </c>
      <c r="E119" s="120">
        <v>1</v>
      </c>
      <c r="F119" s="119" t="e">
        <f t="shared" si="15"/>
        <v>#N/A</v>
      </c>
      <c r="G119" s="119" t="e">
        <f>IF(ISERROR(B118),NA(),SUM(F$94:F119))</f>
        <v>#N/A</v>
      </c>
      <c r="M119" s="3"/>
      <c r="N119" s="56"/>
      <c r="P119" s="56"/>
      <c r="Q119" s="56"/>
      <c r="R119" s="56"/>
      <c r="S119" s="56"/>
    </row>
    <row r="120" spans="2:19">
      <c r="B120" s="118" t="e">
        <f t="shared" si="14"/>
        <v>#N/A</v>
      </c>
      <c r="C120" s="119" t="e">
        <f t="shared" si="20"/>
        <v>#N/A</v>
      </c>
      <c r="D120" s="119" t="e">
        <f t="shared" si="17"/>
        <v>#N/A</v>
      </c>
      <c r="E120" s="120">
        <v>1</v>
      </c>
      <c r="F120" s="119" t="e">
        <f t="shared" si="15"/>
        <v>#N/A</v>
      </c>
      <c r="G120" s="119" t="e">
        <f>IF(ISERROR(B119),NA(),SUM(F$94:F120))</f>
        <v>#N/A</v>
      </c>
      <c r="K120" s="15"/>
      <c r="M120" s="3"/>
      <c r="N120" s="56"/>
      <c r="O120" s="56"/>
      <c r="P120" s="56"/>
      <c r="Q120" s="56"/>
      <c r="R120" s="56"/>
      <c r="S120" s="56"/>
    </row>
    <row r="121" spans="2:19">
      <c r="B121" s="118" t="e">
        <f t="shared" si="14"/>
        <v>#N/A</v>
      </c>
      <c r="C121" s="119" t="e">
        <f t="shared" si="20"/>
        <v>#N/A</v>
      </c>
      <c r="D121" s="119" t="e">
        <f t="shared" si="17"/>
        <v>#N/A</v>
      </c>
      <c r="E121" s="120">
        <v>1</v>
      </c>
      <c r="F121" s="119" t="e">
        <f t="shared" si="15"/>
        <v>#N/A</v>
      </c>
      <c r="G121" s="119" t="e">
        <f>IF(ISERROR(B120),NA(),SUM(F$94:F121))</f>
        <v>#N/A</v>
      </c>
      <c r="M121" s="3"/>
      <c r="N121" s="56"/>
      <c r="O121" s="56"/>
      <c r="P121" s="56"/>
      <c r="Q121" s="56"/>
      <c r="R121" s="56"/>
      <c r="S121" s="56"/>
    </row>
    <row r="122" spans="2:19">
      <c r="B122" s="118" t="e">
        <f t="shared" si="14"/>
        <v>#N/A</v>
      </c>
      <c r="C122" s="119" t="e">
        <f t="shared" si="20"/>
        <v>#N/A</v>
      </c>
      <c r="D122" s="119" t="e">
        <f t="shared" si="17"/>
        <v>#N/A</v>
      </c>
      <c r="E122" s="120">
        <v>1</v>
      </c>
      <c r="F122" s="119" t="e">
        <f t="shared" si="15"/>
        <v>#N/A</v>
      </c>
      <c r="G122" s="119" t="e">
        <f>IF(ISERROR(B121),NA(),SUM(F$94:F122))</f>
        <v>#N/A</v>
      </c>
      <c r="M122" s="3"/>
      <c r="N122" s="56"/>
      <c r="O122" s="56"/>
      <c r="P122" s="56"/>
      <c r="Q122" s="56"/>
      <c r="R122" s="56"/>
      <c r="S122" s="56"/>
    </row>
    <row r="123" spans="2:19">
      <c r="B123" s="118" t="e">
        <f t="shared" si="14"/>
        <v>#N/A</v>
      </c>
      <c r="C123" s="119" t="e">
        <f t="shared" si="20"/>
        <v>#N/A</v>
      </c>
      <c r="D123" s="119" t="e">
        <f t="shared" si="17"/>
        <v>#N/A</v>
      </c>
      <c r="E123" s="120">
        <v>1</v>
      </c>
      <c r="F123" s="119" t="e">
        <f t="shared" si="15"/>
        <v>#N/A</v>
      </c>
      <c r="G123" s="119" t="e">
        <f>IF(ISERROR(B122),NA(),SUM(F$94:F123))</f>
        <v>#N/A</v>
      </c>
      <c r="M123" s="3"/>
      <c r="N123" s="56"/>
      <c r="O123" s="56"/>
      <c r="P123" s="56"/>
      <c r="Q123" s="56"/>
      <c r="R123" s="56"/>
      <c r="S123" s="56"/>
    </row>
    <row r="124" spans="2:19">
      <c r="B124" s="118" t="e">
        <f t="shared" si="14"/>
        <v>#N/A</v>
      </c>
      <c r="C124" s="119" t="e">
        <f t="shared" si="20"/>
        <v>#N/A</v>
      </c>
      <c r="D124" s="119" t="e">
        <f t="shared" si="17"/>
        <v>#N/A</v>
      </c>
      <c r="E124" s="120">
        <v>1</v>
      </c>
      <c r="F124" s="119" t="e">
        <f t="shared" si="15"/>
        <v>#N/A</v>
      </c>
      <c r="G124" s="119" t="e">
        <f>IF(ISERROR(B123),NA(),SUM(F$94:F124))</f>
        <v>#N/A</v>
      </c>
      <c r="M124" s="3"/>
      <c r="N124" s="56"/>
      <c r="O124" s="56"/>
      <c r="P124" s="56"/>
      <c r="Q124" s="56"/>
      <c r="R124" s="56"/>
      <c r="S124" s="56"/>
    </row>
    <row r="125" spans="2:19">
      <c r="B125" s="118" t="e">
        <f t="shared" si="14"/>
        <v>#N/A</v>
      </c>
      <c r="C125" s="119" t="e">
        <f t="shared" si="20"/>
        <v>#N/A</v>
      </c>
      <c r="D125" s="119" t="e">
        <f t="shared" si="17"/>
        <v>#N/A</v>
      </c>
      <c r="E125" s="120">
        <v>1</v>
      </c>
      <c r="F125" s="119" t="e">
        <f t="shared" si="15"/>
        <v>#N/A</v>
      </c>
      <c r="G125" s="119" t="e">
        <f>IF(ISERROR(B124),NA(),SUM(F$94:F125))</f>
        <v>#N/A</v>
      </c>
      <c r="M125" s="3"/>
      <c r="N125" s="56"/>
      <c r="O125" s="56"/>
      <c r="P125" s="56"/>
      <c r="Q125" s="56"/>
      <c r="R125" s="56"/>
      <c r="S125" s="56"/>
    </row>
    <row r="126" spans="2:19">
      <c r="B126" s="118" t="e">
        <f t="shared" si="14"/>
        <v>#N/A</v>
      </c>
      <c r="C126" s="119" t="e">
        <f t="shared" si="20"/>
        <v>#N/A</v>
      </c>
      <c r="D126" s="119" t="e">
        <f t="shared" si="17"/>
        <v>#N/A</v>
      </c>
      <c r="E126" s="120">
        <v>1</v>
      </c>
      <c r="F126" s="119" t="e">
        <f t="shared" si="15"/>
        <v>#N/A</v>
      </c>
      <c r="G126" s="119" t="e">
        <f>IF(ISERROR(B125),NA(),SUM(F$94:F126))</f>
        <v>#N/A</v>
      </c>
      <c r="M126" s="3"/>
      <c r="N126" s="56"/>
      <c r="O126" s="56"/>
      <c r="P126" s="56"/>
      <c r="Q126" s="56"/>
      <c r="R126" s="56"/>
      <c r="S126" s="56"/>
    </row>
    <row r="127" spans="2:19">
      <c r="B127" s="118" t="e">
        <f t="shared" si="14"/>
        <v>#N/A</v>
      </c>
      <c r="C127" s="119" t="e">
        <f t="shared" si="20"/>
        <v>#N/A</v>
      </c>
      <c r="D127" s="119" t="e">
        <f t="shared" si="17"/>
        <v>#N/A</v>
      </c>
      <c r="E127" s="120">
        <v>1</v>
      </c>
      <c r="F127" s="119" t="e">
        <f t="shared" si="15"/>
        <v>#N/A</v>
      </c>
      <c r="G127" s="119" t="e">
        <f>IF(ISERROR(B126),NA(),SUM(F$94:F127))</f>
        <v>#N/A</v>
      </c>
      <c r="M127" s="3"/>
      <c r="N127" s="56"/>
      <c r="O127" s="56"/>
      <c r="P127" s="56"/>
      <c r="Q127" s="56"/>
      <c r="R127" s="56"/>
      <c r="S127" s="56"/>
    </row>
    <row r="128" spans="2:19">
      <c r="B128" s="118" t="e">
        <f t="shared" si="14"/>
        <v>#N/A</v>
      </c>
      <c r="C128" s="119" t="e">
        <f t="shared" si="20"/>
        <v>#N/A</v>
      </c>
      <c r="D128" s="119" t="e">
        <f t="shared" si="17"/>
        <v>#N/A</v>
      </c>
      <c r="E128" s="120">
        <v>1</v>
      </c>
      <c r="F128" s="119" t="e">
        <f t="shared" si="15"/>
        <v>#N/A</v>
      </c>
      <c r="G128" s="119" t="e">
        <f>IF(ISERROR(B127),NA(),SUM(F$94:F128))</f>
        <v>#N/A</v>
      </c>
      <c r="M128" s="3"/>
      <c r="N128" s="56"/>
      <c r="O128" s="56"/>
      <c r="P128" s="56"/>
      <c r="Q128" s="56"/>
      <c r="R128" s="56"/>
      <c r="S128" s="56"/>
    </row>
    <row r="129" spans="2:19">
      <c r="B129" s="118" t="e">
        <f t="shared" si="14"/>
        <v>#N/A</v>
      </c>
      <c r="C129" s="119" t="e">
        <f t="shared" si="20"/>
        <v>#N/A</v>
      </c>
      <c r="D129" s="119" t="e">
        <f t="shared" si="17"/>
        <v>#N/A</v>
      </c>
      <c r="E129" s="120">
        <v>1</v>
      </c>
      <c r="F129" s="119" t="e">
        <f t="shared" si="15"/>
        <v>#N/A</v>
      </c>
      <c r="G129" s="119" t="e">
        <f>IF(ISERROR(B128),NA(),SUM(F$94:F129))</f>
        <v>#N/A</v>
      </c>
      <c r="M129" s="3"/>
      <c r="N129" s="56"/>
      <c r="O129" s="56"/>
      <c r="P129" s="56"/>
      <c r="Q129" s="56"/>
      <c r="R129" s="56"/>
      <c r="S129" s="56"/>
    </row>
    <row r="130" spans="2:19">
      <c r="B130" s="118" t="e">
        <f t="shared" si="14"/>
        <v>#N/A</v>
      </c>
      <c r="C130" s="119" t="e">
        <f t="shared" si="20"/>
        <v>#N/A</v>
      </c>
      <c r="D130" s="119" t="e">
        <f t="shared" si="17"/>
        <v>#N/A</v>
      </c>
      <c r="E130" s="120">
        <v>1</v>
      </c>
      <c r="F130" s="119" t="e">
        <f t="shared" si="15"/>
        <v>#N/A</v>
      </c>
      <c r="G130" s="119" t="e">
        <f>IF(ISERROR(B129),NA(),SUM(F$94:F130))</f>
        <v>#N/A</v>
      </c>
      <c r="L130" s="15"/>
      <c r="M130" s="3"/>
      <c r="N130" s="56"/>
      <c r="O130" s="56"/>
      <c r="P130" s="56"/>
      <c r="Q130" s="56"/>
      <c r="R130" s="56"/>
      <c r="S130" s="56"/>
    </row>
    <row r="131" spans="2:19">
      <c r="B131" s="118" t="e">
        <f t="shared" si="14"/>
        <v>#N/A</v>
      </c>
      <c r="C131" s="119" t="e">
        <f t="shared" si="20"/>
        <v>#N/A</v>
      </c>
      <c r="D131" s="119" t="e">
        <f t="shared" si="17"/>
        <v>#N/A</v>
      </c>
      <c r="E131" s="120">
        <v>1</v>
      </c>
      <c r="F131" s="119" t="e">
        <f t="shared" si="15"/>
        <v>#N/A</v>
      </c>
      <c r="G131" s="119" t="e">
        <f>IF(ISERROR(B130),NA(),SUM(F$94:F131))</f>
        <v>#N/A</v>
      </c>
      <c r="M131" s="3"/>
      <c r="N131" s="56"/>
      <c r="O131" s="56"/>
      <c r="P131" s="56"/>
      <c r="Q131" s="56"/>
      <c r="R131" s="56"/>
      <c r="S131" s="56"/>
    </row>
    <row r="132" spans="2:19">
      <c r="B132" s="118" t="e">
        <f t="shared" si="14"/>
        <v>#N/A</v>
      </c>
      <c r="C132" s="119" t="e">
        <f t="shared" si="20"/>
        <v>#N/A</v>
      </c>
      <c r="D132" s="119" t="e">
        <f t="shared" si="17"/>
        <v>#N/A</v>
      </c>
      <c r="E132" s="120">
        <v>1</v>
      </c>
      <c r="F132" s="119" t="e">
        <f t="shared" si="15"/>
        <v>#N/A</v>
      </c>
      <c r="G132" s="119" t="e">
        <f>IF(ISERROR(B131),NA(),SUM(F$94:F132))</f>
        <v>#N/A</v>
      </c>
      <c r="M132" s="3"/>
      <c r="N132" s="56"/>
      <c r="O132" s="56"/>
      <c r="P132" s="56"/>
      <c r="Q132" s="56"/>
      <c r="R132" s="56"/>
      <c r="S132" s="56"/>
    </row>
    <row r="133" spans="2:19">
      <c r="B133" s="118" t="e">
        <f t="shared" si="14"/>
        <v>#N/A</v>
      </c>
      <c r="C133" s="119" t="e">
        <f t="shared" si="20"/>
        <v>#N/A</v>
      </c>
      <c r="D133" s="119" t="e">
        <f t="shared" si="17"/>
        <v>#N/A</v>
      </c>
      <c r="E133" s="120">
        <v>1</v>
      </c>
      <c r="F133" s="119" t="e">
        <f t="shared" si="15"/>
        <v>#N/A</v>
      </c>
      <c r="G133" s="119" t="e">
        <f>IF(ISERROR(B132),NA(),SUM(F$94:F133))</f>
        <v>#N/A</v>
      </c>
      <c r="M133" s="3"/>
      <c r="N133" s="56"/>
      <c r="O133" s="56"/>
      <c r="P133" s="56"/>
      <c r="Q133" s="56"/>
      <c r="R133" s="56"/>
      <c r="S133" s="56"/>
    </row>
    <row r="134" spans="2:19">
      <c r="B134" s="3"/>
      <c r="E134" s="19"/>
      <c r="F134" s="15"/>
      <c r="N134" s="56"/>
      <c r="O134" s="56"/>
      <c r="P134" s="56"/>
      <c r="Q134" s="56"/>
      <c r="R134" s="56"/>
      <c r="S134" s="56"/>
    </row>
    <row r="135" spans="2:19">
      <c r="B135" s="3"/>
      <c r="E135" s="14"/>
      <c r="F135" s="15"/>
      <c r="N135" s="56"/>
      <c r="O135" s="56"/>
      <c r="P135" s="56"/>
      <c r="Q135" s="56"/>
      <c r="R135" s="56"/>
      <c r="S135" s="56"/>
    </row>
    <row r="136" spans="2:19">
      <c r="C136" s="15"/>
      <c r="D136" s="15"/>
      <c r="E136" s="15"/>
      <c r="F136" s="15"/>
    </row>
    <row r="137" spans="2:19">
      <c r="B137" s="71" t="s">
        <v>86</v>
      </c>
      <c r="C137" s="71"/>
      <c r="D137" s="71"/>
      <c r="M137" s="71" t="s">
        <v>86</v>
      </c>
      <c r="N137" s="71"/>
      <c r="O137" s="71"/>
      <c r="P137" s="71"/>
    </row>
    <row r="138" spans="2:19">
      <c r="B138" s="14" t="s">
        <v>255</v>
      </c>
      <c r="M138" s="14" t="s">
        <v>256</v>
      </c>
    </row>
    <row r="139" spans="2:19">
      <c r="B139" t="s">
        <v>264</v>
      </c>
      <c r="C139">
        <v>30</v>
      </c>
      <c r="D139" s="15">
        <f>C114</f>
        <v>53682.517004318826</v>
      </c>
      <c r="M139" t="s">
        <v>264</v>
      </c>
      <c r="O139">
        <v>38</v>
      </c>
      <c r="P139" s="15">
        <f>N114</f>
        <v>67693.064024676729</v>
      </c>
    </row>
    <row r="140" spans="2:19">
      <c r="B140" t="s">
        <v>268</v>
      </c>
      <c r="D140" s="24">
        <f>I182</f>
        <v>6.3200000000000006E-2</v>
      </c>
      <c r="E140" s="22" t="s">
        <v>257</v>
      </c>
      <c r="M140" t="s">
        <v>268</v>
      </c>
      <c r="P140" s="24">
        <f>D140</f>
        <v>6.3200000000000006E-2</v>
      </c>
    </row>
    <row r="141" spans="2:19">
      <c r="B141" t="s">
        <v>267</v>
      </c>
      <c r="D141" s="19">
        <f>Targets!C20</f>
        <v>0.03</v>
      </c>
      <c r="M141" t="s">
        <v>267</v>
      </c>
      <c r="P141" s="19">
        <f>D141</f>
        <v>0.03</v>
      </c>
    </row>
    <row r="144" spans="2:19" ht="45">
      <c r="B144" s="72" t="s">
        <v>81</v>
      </c>
      <c r="C144" s="73" t="s">
        <v>87</v>
      </c>
      <c r="D144" s="73" t="s">
        <v>88</v>
      </c>
      <c r="E144" s="73" t="s">
        <v>84</v>
      </c>
      <c r="F144" s="73" t="s">
        <v>89</v>
      </c>
      <c r="G144" s="73" t="s">
        <v>125</v>
      </c>
      <c r="M144" s="72" t="s">
        <v>81</v>
      </c>
      <c r="N144" s="73" t="s">
        <v>87</v>
      </c>
      <c r="O144" s="73" t="s">
        <v>88</v>
      </c>
      <c r="P144" s="73" t="s">
        <v>84</v>
      </c>
      <c r="Q144" s="73" t="s">
        <v>89</v>
      </c>
      <c r="R144" s="73" t="s">
        <v>125</v>
      </c>
    </row>
    <row r="145" spans="2:18">
      <c r="B145" s="3">
        <v>0</v>
      </c>
      <c r="C145" s="15">
        <f>C114</f>
        <v>53682.517004318826</v>
      </c>
      <c r="E145" s="19">
        <f>E114</f>
        <v>0.91171636045858384</v>
      </c>
      <c r="M145" s="3">
        <v>0</v>
      </c>
      <c r="N145" s="15">
        <f>N114</f>
        <v>67693.064024676729</v>
      </c>
      <c r="P145" s="19">
        <v>0.95504174694926136</v>
      </c>
    </row>
    <row r="146" spans="2:18">
      <c r="B146" s="3">
        <f t="shared" ref="B146:B165" si="22">IF(B145&gt;$C$91-1,NA(),B145+1)</f>
        <v>1</v>
      </c>
      <c r="C146" s="15">
        <f t="shared" ref="C146:C175" si="23">IF(ISERROR(B146),NA(),C145*(1+$D$141))</f>
        <v>55292.992514448393</v>
      </c>
      <c r="D146" s="15">
        <f t="shared" ref="D146:D175" si="24">C146/(1+$D$140)^B146</f>
        <v>52006.200634357032</v>
      </c>
      <c r="E146" s="19">
        <v>0.90340400740725324</v>
      </c>
      <c r="F146" s="15">
        <f t="shared" ref="F146:F175" si="25">E146*D146</f>
        <v>46982.610063103777</v>
      </c>
      <c r="G146" s="15">
        <f>IF(ISERROR(B145),NA(),SUM(F$145:F146))</f>
        <v>46982.610063103777</v>
      </c>
      <c r="M146" s="3">
        <f t="shared" ref="M146:M165" si="26">IF(M145&gt;$C$91-1,NA(),M145+1)</f>
        <v>1</v>
      </c>
      <c r="N146" s="15">
        <f>IF(ISERROR(M146),NA(),N145*(1+$P$141))</f>
        <v>69723.855945417032</v>
      </c>
      <c r="O146" s="15">
        <f t="shared" ref="O146:O183" si="27">N146/(1+$P$140)^M146</f>
        <v>65579.247503213919</v>
      </c>
      <c r="P146" s="19">
        <v>0.95053572702898326</v>
      </c>
      <c r="Q146" s="15">
        <f>P146*O146</f>
        <v>62335.417703481078</v>
      </c>
      <c r="R146" s="15">
        <f>IF(ISERROR(M145),NA(),SUM(Q$145:Q146))</f>
        <v>62335.417703481078</v>
      </c>
    </row>
    <row r="147" spans="2:18">
      <c r="B147" s="3">
        <f t="shared" si="22"/>
        <v>2</v>
      </c>
      <c r="C147" s="15">
        <f t="shared" si="23"/>
        <v>56951.782289881849</v>
      </c>
      <c r="D147" s="15">
        <f t="shared" si="24"/>
        <v>50382.229734187131</v>
      </c>
      <c r="E147" s="19">
        <v>0.89444664072740887</v>
      </c>
      <c r="F147" s="15">
        <f t="shared" si="25"/>
        <v>45064.216138100252</v>
      </c>
      <c r="G147" s="15">
        <f>IF(ISERROR(B146),NA(),SUM(F$145:F147))</f>
        <v>92046.826201204036</v>
      </c>
      <c r="M147" s="3">
        <f t="shared" si="26"/>
        <v>2</v>
      </c>
      <c r="N147" s="15">
        <f t="shared" ref="N147:N183" si="28">IF(ISERROR(M147),NA(),N146*(1+$P$141))</f>
        <v>71815.571623779542</v>
      </c>
      <c r="O147" s="15">
        <f t="shared" si="27"/>
        <v>63531.438043933733</v>
      </c>
      <c r="P147" s="19">
        <v>0.94564231173094371</v>
      </c>
      <c r="Q147" s="15">
        <f t="shared" ref="Q147:Q183" si="29">P147*O147</f>
        <v>60078.015939456716</v>
      </c>
      <c r="R147" s="15">
        <f>IF(ISERROR(M146),NA(),SUM(Q$145:Q147))</f>
        <v>122413.4336429378</v>
      </c>
    </row>
    <row r="148" spans="2:18">
      <c r="B148" s="3">
        <f t="shared" si="22"/>
        <v>3</v>
      </c>
      <c r="C148" s="15">
        <f t="shared" si="23"/>
        <v>58660.335758578309</v>
      </c>
      <c r="D148" s="15">
        <f t="shared" si="24"/>
        <v>48808.969738725311</v>
      </c>
      <c r="E148" s="19">
        <v>0.88476103285408125</v>
      </c>
      <c r="F148" s="15">
        <f t="shared" si="25"/>
        <v>43184.274478578205</v>
      </c>
      <c r="G148" s="15">
        <f>IF(ISERROR(B147),NA(),SUM(F$145:F148))</f>
        <v>135231.10067978225</v>
      </c>
      <c r="M148" s="3">
        <f t="shared" si="26"/>
        <v>3</v>
      </c>
      <c r="N148" s="15">
        <f t="shared" si="28"/>
        <v>73970.038772492931</v>
      </c>
      <c r="O148" s="15">
        <f t="shared" si="27"/>
        <v>61547.574478227762</v>
      </c>
      <c r="P148" s="19">
        <v>0.94032072259432564</v>
      </c>
      <c r="Q148" s="15">
        <f t="shared" si="29"/>
        <v>57874.459707295202</v>
      </c>
      <c r="R148" s="15">
        <f>IF(ISERROR(M147),NA(),SUM(Q$145:Q148))</f>
        <v>180287.893350233</v>
      </c>
    </row>
    <row r="149" spans="2:18">
      <c r="B149" s="3">
        <f t="shared" si="22"/>
        <v>4</v>
      </c>
      <c r="C149" s="15">
        <f t="shared" si="23"/>
        <v>60420.145831335656</v>
      </c>
      <c r="D149" s="15">
        <f t="shared" si="24"/>
        <v>47284.837124611615</v>
      </c>
      <c r="E149" s="19">
        <v>0.874274359667922</v>
      </c>
      <c r="F149" s="15">
        <f t="shared" si="25"/>
        <v>41339.920699121809</v>
      </c>
      <c r="G149" s="15">
        <f>IF(ISERROR(B148),NA(),SUM(F$145:F149))</f>
        <v>176571.02137890406</v>
      </c>
      <c r="M149" s="3">
        <f t="shared" si="26"/>
        <v>4</v>
      </c>
      <c r="N149" s="15">
        <f t="shared" si="28"/>
        <v>76189.139935667728</v>
      </c>
      <c r="O149" s="15">
        <f t="shared" si="27"/>
        <v>59625.660000540447</v>
      </c>
      <c r="P149" s="19">
        <v>0.93451998654310797</v>
      </c>
      <c r="Q149" s="15">
        <f t="shared" si="29"/>
        <v>55721.37098132899</v>
      </c>
      <c r="R149" s="15">
        <f>IF(ISERROR(M148),NA(),SUM(Q$145:Q149))</f>
        <v>236009.26433156198</v>
      </c>
    </row>
    <row r="150" spans="2:18">
      <c r="B150" s="3">
        <f t="shared" si="22"/>
        <v>5</v>
      </c>
      <c r="C150" s="15">
        <f t="shared" si="23"/>
        <v>62232.750206275727</v>
      </c>
      <c r="D150" s="15">
        <f t="shared" si="24"/>
        <v>45808.297816356251</v>
      </c>
      <c r="E150" s="19">
        <v>0.86293460394082522</v>
      </c>
      <c r="F150" s="15">
        <f t="shared" si="25"/>
        <v>39529.565333360748</v>
      </c>
      <c r="G150" s="15">
        <f>IF(ISERROR(B149),NA(),SUM(F$145:F150))</f>
        <v>216100.58671226481</v>
      </c>
      <c r="M150" s="3">
        <f t="shared" si="26"/>
        <v>5</v>
      </c>
      <c r="N150" s="15">
        <f t="shared" si="28"/>
        <v>78474.81413373776</v>
      </c>
      <c r="O150" s="15">
        <f t="shared" si="27"/>
        <v>57763.760158537116</v>
      </c>
      <c r="P150" s="19">
        <v>0.92819932511647352</v>
      </c>
      <c r="Q150" s="15">
        <f t="shared" si="29"/>
        <v>53616.283195343989</v>
      </c>
      <c r="R150" s="15">
        <f>IF(ISERROR(M149),NA(),SUM(Q$145:Q150))</f>
        <v>289625.54752690595</v>
      </c>
    </row>
    <row r="151" spans="2:18">
      <c r="B151" s="3">
        <f t="shared" si="22"/>
        <v>6</v>
      </c>
      <c r="C151" s="15">
        <f t="shared" si="23"/>
        <v>64099.732712464</v>
      </c>
      <c r="D151" s="15">
        <f t="shared" si="24"/>
        <v>44377.865642256351</v>
      </c>
      <c r="E151" s="19">
        <v>0.850752169118412</v>
      </c>
      <c r="F151" s="15">
        <f t="shared" si="25"/>
        <v>37754.565455995042</v>
      </c>
      <c r="G151" s="15">
        <f>IF(ISERROR(B150),NA(),SUM(F$145:F151))</f>
        <v>253855.15216825984</v>
      </c>
      <c r="M151" s="3">
        <f t="shared" si="26"/>
        <v>6</v>
      </c>
      <c r="N151" s="15">
        <f t="shared" si="28"/>
        <v>80829.058557749901</v>
      </c>
      <c r="O151" s="15">
        <f t="shared" si="27"/>
        <v>55960.000906032023</v>
      </c>
      <c r="P151" s="19">
        <v>0.9212873760079926</v>
      </c>
      <c r="Q151" s="15">
        <f t="shared" si="29"/>
        <v>51555.242396123132</v>
      </c>
      <c r="R151" s="15">
        <f>IF(ISERROR(M150),NA(),SUM(Q$145:Q151))</f>
        <v>341180.78992302908</v>
      </c>
    </row>
    <row r="152" spans="2:18">
      <c r="B152" s="3">
        <f t="shared" si="22"/>
        <v>7</v>
      </c>
      <c r="C152" s="15">
        <f t="shared" si="23"/>
        <v>66022.724693837925</v>
      </c>
      <c r="D152" s="15">
        <f t="shared" si="24"/>
        <v>42992.100838529012</v>
      </c>
      <c r="E152" s="19">
        <v>0.83772705520068247</v>
      </c>
      <c r="F152" s="15">
        <f t="shared" si="25"/>
        <v>36015.646032351702</v>
      </c>
      <c r="G152" s="15">
        <f>IF(ISERROR(B151),NA(),SUM(F$145:F152))</f>
        <v>289870.79820061155</v>
      </c>
      <c r="M152" s="3">
        <f t="shared" si="26"/>
        <v>7</v>
      </c>
      <c r="N152" s="15">
        <f t="shared" si="28"/>
        <v>83253.930314482393</v>
      </c>
      <c r="O152" s="15">
        <f t="shared" si="27"/>
        <v>54212.566716716501</v>
      </c>
      <c r="P152" s="19">
        <v>0.91374336075684826</v>
      </c>
      <c r="Q152" s="15">
        <f t="shared" si="29"/>
        <v>49536.372906987388</v>
      </c>
      <c r="R152" s="15">
        <f>IF(ISERROR(M151),NA(),SUM(Q$145:Q152))</f>
        <v>390717.16283001646</v>
      </c>
    </row>
    <row r="153" spans="2:18">
      <c r="B153" s="3">
        <f t="shared" si="22"/>
        <v>8</v>
      </c>
      <c r="C153" s="15">
        <f t="shared" si="23"/>
        <v>68003.406434653065</v>
      </c>
      <c r="D153" s="15">
        <f t="shared" si="24"/>
        <v>41649.608600155087</v>
      </c>
      <c r="E153" s="19">
        <v>0.82384885874201541</v>
      </c>
      <c r="F153" s="15">
        <f t="shared" si="25"/>
        <v>34312.982512289396</v>
      </c>
      <c r="G153" s="15">
        <f>IF(ISERROR(B152),NA(),SUM(F$145:F153))</f>
        <v>324183.78071290092</v>
      </c>
      <c r="M153" s="3">
        <f t="shared" si="26"/>
        <v>8</v>
      </c>
      <c r="N153" s="15">
        <f t="shared" si="28"/>
        <v>85751.548223916863</v>
      </c>
      <c r="O153" s="15">
        <f t="shared" si="27"/>
        <v>52519.698756788937</v>
      </c>
      <c r="P153" s="19">
        <v>0.90555708474783614</v>
      </c>
      <c r="Q153" s="15">
        <f t="shared" si="29"/>
        <v>47559.585298032347</v>
      </c>
      <c r="R153" s="15">
        <f>IF(ISERROR(M152),NA(),SUM(Q$145:Q153))</f>
        <v>438276.74812804878</v>
      </c>
    </row>
    <row r="154" spans="2:18">
      <c r="B154" s="3">
        <f t="shared" si="22"/>
        <v>9</v>
      </c>
      <c r="C154" s="15">
        <f t="shared" si="23"/>
        <v>70043.50862769266</v>
      </c>
      <c r="D154" s="15">
        <f t="shared" si="24"/>
        <v>40349.037676974927</v>
      </c>
      <c r="E154" s="19">
        <v>0.80903435217744113</v>
      </c>
      <c r="F154" s="15">
        <f t="shared" si="25"/>
        <v>32643.757557974575</v>
      </c>
      <c r="G154" s="15">
        <f>IF(ISERROR(B153),NA(),SUM(F$145:F154))</f>
        <v>356827.53827087546</v>
      </c>
      <c r="M154" s="3">
        <f t="shared" si="26"/>
        <v>9</v>
      </c>
      <c r="N154" s="15">
        <f t="shared" si="28"/>
        <v>88324.094670634368</v>
      </c>
      <c r="O154" s="15">
        <f t="shared" si="27"/>
        <v>50879.693114646921</v>
      </c>
      <c r="P154" s="19">
        <v>0.89673874259616071</v>
      </c>
      <c r="Q154" s="15">
        <f t="shared" si="29"/>
        <v>45625.792027307019</v>
      </c>
      <c r="R154" s="15">
        <f>IF(ISERROR(M153),NA(),SUM(Q$145:Q154))</f>
        <v>483902.54015535582</v>
      </c>
    </row>
    <row r="155" spans="2:18">
      <c r="B155" s="3">
        <f t="shared" si="22"/>
        <v>10</v>
      </c>
      <c r="C155" s="15">
        <f t="shared" si="23"/>
        <v>72144.813886523436</v>
      </c>
      <c r="D155" s="15">
        <f t="shared" si="24"/>
        <v>39089.079013623195</v>
      </c>
      <c r="E155" s="19">
        <v>0.79321071138761157</v>
      </c>
      <c r="F155" s="15">
        <f t="shared" si="25"/>
        <v>31005.876171882614</v>
      </c>
      <c r="G155" s="15">
        <f>IF(ISERROR(B154),NA(),SUM(F$145:F155))</f>
        <v>387833.41444275808</v>
      </c>
      <c r="M155" s="3">
        <f t="shared" si="26"/>
        <v>10</v>
      </c>
      <c r="N155" s="15">
        <f t="shared" si="28"/>
        <v>90973.817510753404</v>
      </c>
      <c r="O155" s="15">
        <f t="shared" si="27"/>
        <v>49290.899085859986</v>
      </c>
      <c r="P155" s="19">
        <v>0.88724755584100479</v>
      </c>
      <c r="Q155" s="15">
        <f t="shared" si="29"/>
        <v>43733.229739134891</v>
      </c>
      <c r="R155" s="15">
        <f>IF(ISERROR(M154),NA(),SUM(Q$145:Q155))</f>
        <v>527635.76989449072</v>
      </c>
    </row>
    <row r="156" spans="2:18">
      <c r="B156" s="3">
        <f t="shared" si="22"/>
        <v>11</v>
      </c>
      <c r="C156" s="15">
        <f t="shared" si="23"/>
        <v>74309.15830311914</v>
      </c>
      <c r="D156" s="15">
        <f t="shared" si="24"/>
        <v>37868.464431933688</v>
      </c>
      <c r="E156" s="19">
        <v>0.77631551569879942</v>
      </c>
      <c r="F156" s="15">
        <f t="shared" si="25"/>
        <v>29397.876494198244</v>
      </c>
      <c r="G156" s="15">
        <f>IF(ISERROR(B155),NA(),SUM(F$145:F156))</f>
        <v>417231.2909369563</v>
      </c>
      <c r="M156" s="3">
        <f t="shared" si="26"/>
        <v>11</v>
      </c>
      <c r="N156" s="15">
        <f>IF(ISERROR(M156),NA(),N155*(1+$P$141))</f>
        <v>93703.032036076009</v>
      </c>
      <c r="O156" s="15">
        <f t="shared" si="27"/>
        <v>47751.717511696574</v>
      </c>
      <c r="P156" s="19">
        <v>0.87703255140634717</v>
      </c>
      <c r="Q156" s="15">
        <f t="shared" si="29"/>
        <v>41879.810643318393</v>
      </c>
      <c r="R156" s="15">
        <f>IF(ISERROR(M155),NA(),SUM(Q$145:Q156))</f>
        <v>569515.58053780906</v>
      </c>
    </row>
    <row r="157" spans="2:18">
      <c r="B157" s="3">
        <f t="shared" si="22"/>
        <v>12</v>
      </c>
      <c r="C157" s="15">
        <f t="shared" si="23"/>
        <v>76538.433052212713</v>
      </c>
      <c r="D157" s="15">
        <f t="shared" si="24"/>
        <v>36685.965354488049</v>
      </c>
      <c r="E157" s="19">
        <v>0.7583383616653836</v>
      </c>
      <c r="F157" s="15">
        <f t="shared" si="25"/>
        <v>27820.374863035489</v>
      </c>
      <c r="G157" s="15">
        <f>IF(ISERROR(B156),NA(),SUM(F$145:F157))</f>
        <v>445051.66579999181</v>
      </c>
      <c r="M157" s="3">
        <f t="shared" si="26"/>
        <v>12</v>
      </c>
      <c r="N157" s="15">
        <f t="shared" si="28"/>
        <v>96514.122997158294</v>
      </c>
      <c r="O157" s="15">
        <f t="shared" si="27"/>
        <v>46260.599169532987</v>
      </c>
      <c r="P157" s="19">
        <v>0.86600197775534959</v>
      </c>
      <c r="Q157" s="15">
        <f t="shared" si="29"/>
        <v>40061.770372963052</v>
      </c>
      <c r="R157" s="15">
        <f>IF(ISERROR(M156),NA(),SUM(Q$145:Q157))</f>
        <v>609577.3509107721</v>
      </c>
    </row>
    <row r="158" spans="2:18">
      <c r="B158" s="3">
        <f t="shared" si="22"/>
        <v>13</v>
      </c>
      <c r="C158" s="15">
        <f t="shared" si="23"/>
        <v>78834.586043779098</v>
      </c>
      <c r="D158" s="15">
        <f t="shared" si="24"/>
        <v>35540.391568023602</v>
      </c>
      <c r="E158" s="19">
        <v>0.7392168286136368</v>
      </c>
      <c r="F158" s="15">
        <f t="shared" si="25"/>
        <v>26272.055542601247</v>
      </c>
      <c r="G158" s="15">
        <f>IF(ISERROR(B157),NA(),SUM(F$145:F158))</f>
        <v>471323.72134259308</v>
      </c>
      <c r="M158" s="3">
        <f t="shared" si="26"/>
        <v>13</v>
      </c>
      <c r="N158" s="15">
        <f t="shared" si="28"/>
        <v>99409.546687073045</v>
      </c>
      <c r="O158" s="15">
        <f t="shared" si="27"/>
        <v>44816.043213524244</v>
      </c>
      <c r="P158" s="19">
        <v>0.85407427796637814</v>
      </c>
      <c r="Q158" s="15">
        <f t="shared" si="29"/>
        <v>38276.229748900718</v>
      </c>
      <c r="R158" s="15">
        <f>IF(ISERROR(M157),NA(),SUM(Q$145:Q158))</f>
        <v>647853.58065967285</v>
      </c>
    </row>
    <row r="159" spans="2:18">
      <c r="B159" s="3">
        <f t="shared" si="22"/>
        <v>14</v>
      </c>
      <c r="C159" s="15">
        <f t="shared" si="23"/>
        <v>81199.62362509247</v>
      </c>
      <c r="D159" s="15">
        <f t="shared" si="24"/>
        <v>34430.590025455531</v>
      </c>
      <c r="E159" s="19">
        <v>0.71885728553296857</v>
      </c>
      <c r="F159" s="15">
        <f t="shared" si="25"/>
        <v>24750.680484997465</v>
      </c>
      <c r="G159" s="15">
        <f>IF(ISERROR(B158),NA(),SUM(F$145:F159))</f>
        <v>496074.40182759054</v>
      </c>
      <c r="M159" s="3">
        <f t="shared" si="26"/>
        <v>14</v>
      </c>
      <c r="N159" s="15">
        <f t="shared" si="28"/>
        <v>102391.83308768524</v>
      </c>
      <c r="O159" s="15">
        <f t="shared" si="27"/>
        <v>43416.595663967259</v>
      </c>
      <c r="P159" s="19">
        <v>0.84115770050259453</v>
      </c>
      <c r="Q159" s="15">
        <f t="shared" si="29"/>
        <v>36520.203772353612</v>
      </c>
      <c r="R159" s="15">
        <f>IF(ISERROR(M158),NA(),SUM(Q$145:Q159))</f>
        <v>684373.78443202644</v>
      </c>
    </row>
    <row r="160" spans="2:18">
      <c r="B160" s="3">
        <f t="shared" si="22"/>
        <v>15</v>
      </c>
      <c r="C160" s="15">
        <f t="shared" si="23"/>
        <v>83635.612333845245</v>
      </c>
      <c r="D160" s="15">
        <f t="shared" si="24"/>
        <v>33355.44368530775</v>
      </c>
      <c r="E160" s="19">
        <v>0.69719731174965149</v>
      </c>
      <c r="F160" s="15">
        <f t="shared" si="25"/>
        <v>23255.325669613452</v>
      </c>
      <c r="G160" s="15">
        <f>IF(ISERROR(B159),NA(),SUM(F$145:F160))</f>
        <v>519329.72749720397</v>
      </c>
      <c r="M160" s="3">
        <f t="shared" si="26"/>
        <v>15</v>
      </c>
      <c r="N160" s="15">
        <f t="shared" si="28"/>
        <v>105463.58808031581</v>
      </c>
      <c r="O160" s="15">
        <f t="shared" si="27"/>
        <v>42060.847943835855</v>
      </c>
      <c r="P160" s="19">
        <v>0.82715029921195626</v>
      </c>
      <c r="Q160" s="15">
        <f t="shared" si="29"/>
        <v>34790.64296185242</v>
      </c>
      <c r="R160" s="15">
        <f>IF(ISERROR(M159),NA(),SUM(Q$145:Q160))</f>
        <v>719164.42739387881</v>
      </c>
    </row>
    <row r="161" spans="2:18">
      <c r="B161" s="3">
        <f t="shared" si="22"/>
        <v>16</v>
      </c>
      <c r="C161" s="15">
        <f t="shared" si="23"/>
        <v>86144.680703860606</v>
      </c>
      <c r="D161" s="15">
        <f t="shared" si="24"/>
        <v>32313.870387384301</v>
      </c>
      <c r="E161" s="19">
        <v>0.6742056969268222</v>
      </c>
      <c r="F161" s="15">
        <f t="shared" si="25"/>
        <v>21786.195504929434</v>
      </c>
      <c r="G161" s="15">
        <f>IF(ISERROR(B160),NA(),SUM(F$145:F161))</f>
        <v>541115.92300213338</v>
      </c>
      <c r="M161" s="3">
        <f t="shared" si="26"/>
        <v>16</v>
      </c>
      <c r="N161" s="15">
        <f t="shared" si="28"/>
        <v>108627.49572272529</v>
      </c>
      <c r="O161" s="15">
        <f t="shared" si="27"/>
        <v>40747.435461014808</v>
      </c>
      <c r="P161" s="19">
        <v>0.81192973871201235</v>
      </c>
      <c r="Q161" s="15">
        <f t="shared" si="29"/>
        <v>33084.054627046338</v>
      </c>
      <c r="R161" s="15">
        <f>IF(ISERROR(M160),NA(),SUM(Q$145:Q161))</f>
        <v>752248.48202092515</v>
      </c>
    </row>
    <row r="162" spans="2:18">
      <c r="B162" s="3">
        <f t="shared" si="22"/>
        <v>17</v>
      </c>
      <c r="C162" s="15">
        <f t="shared" si="23"/>
        <v>88729.021124976425</v>
      </c>
      <c r="D162" s="15">
        <f t="shared" si="24"/>
        <v>31304.821763549502</v>
      </c>
      <c r="E162" s="19">
        <v>0.64988244106448056</v>
      </c>
      <c r="F162" s="15">
        <f t="shared" si="25"/>
        <v>20344.453984784028</v>
      </c>
      <c r="G162" s="15">
        <f>IF(ISERROR(B161),NA(),SUM(F$145:F162))</f>
        <v>561460.37698691746</v>
      </c>
      <c r="M162" s="3">
        <f t="shared" si="26"/>
        <v>17</v>
      </c>
      <c r="N162" s="15">
        <f t="shared" si="28"/>
        <v>111886.32059440705</v>
      </c>
      <c r="O162" s="15">
        <f t="shared" si="27"/>
        <v>39475.036234805542</v>
      </c>
      <c r="P162" s="19">
        <v>0.79541446208112876</v>
      </c>
      <c r="Q162" s="15">
        <f t="shared" si="29"/>
        <v>31399.014712340915</v>
      </c>
      <c r="R162" s="15">
        <f>IF(ISERROR(M161),NA(),SUM(Q$145:Q162))</f>
        <v>783647.49673326605</v>
      </c>
    </row>
    <row r="163" spans="2:18">
      <c r="B163" s="3">
        <f t="shared" si="22"/>
        <v>18</v>
      </c>
      <c r="C163" s="15">
        <f t="shared" si="23"/>
        <v>91390.891758725716</v>
      </c>
      <c r="D163" s="15">
        <f t="shared" si="24"/>
        <v>30327.282182520685</v>
      </c>
      <c r="E163" s="19">
        <v>0.62420673727138432</v>
      </c>
      <c r="F163" s="15">
        <f t="shared" si="25"/>
        <v>18930.493861459825</v>
      </c>
      <c r="G163" s="15">
        <f>IF(ISERROR(B162),NA(),SUM(F$145:F163))</f>
        <v>580390.87084837724</v>
      </c>
      <c r="M163" s="3">
        <f t="shared" si="26"/>
        <v>18</v>
      </c>
      <c r="N163" s="15">
        <f t="shared" si="28"/>
        <v>115242.91021223927</v>
      </c>
      <c r="O163" s="15">
        <f t="shared" si="27"/>
        <v>38242.369565321402</v>
      </c>
      <c r="P163" s="19">
        <v>0.77763505316491832</v>
      </c>
      <c r="Q163" s="15">
        <f t="shared" si="29"/>
        <v>29738.607090081161</v>
      </c>
      <c r="R163" s="15">
        <f>IF(ISERROR(M162),NA(),SUM(Q$145:Q163))</f>
        <v>813386.10382334725</v>
      </c>
    </row>
    <row r="164" spans="2:18">
      <c r="B164" s="3">
        <f t="shared" si="22"/>
        <v>19</v>
      </c>
      <c r="C164" s="15">
        <f t="shared" si="23"/>
        <v>94132.618511487497</v>
      </c>
      <c r="D164" s="15">
        <f t="shared" si="24"/>
        <v>29380.267727611277</v>
      </c>
      <c r="E164" s="19">
        <v>0.59710576142818506</v>
      </c>
      <c r="F164" s="15">
        <f t="shared" si="25"/>
        <v>17543.127132459264</v>
      </c>
      <c r="G164" s="15">
        <f>IF(ISERROR(B163),NA(),SUM(F$145:F164))</f>
        <v>597933.99798083655</v>
      </c>
      <c r="M164" s="3">
        <f t="shared" si="26"/>
        <v>19</v>
      </c>
      <c r="N164" s="15">
        <f t="shared" si="28"/>
        <v>118700.19751860645</v>
      </c>
      <c r="O164" s="15">
        <f t="shared" si="27"/>
        <v>37048.194744432891</v>
      </c>
      <c r="P164" s="19">
        <v>0.75867306888501496</v>
      </c>
      <c r="Q164" s="15">
        <f t="shared" si="29"/>
        <v>28107.467603408582</v>
      </c>
      <c r="R164" s="15">
        <f>IF(ISERROR(M163),NA(),SUM(Q$145:Q164))</f>
        <v>841493.57142675587</v>
      </c>
    </row>
    <row r="165" spans="2:18">
      <c r="B165" s="3">
        <f t="shared" si="22"/>
        <v>20</v>
      </c>
      <c r="C165" s="15">
        <f t="shared" si="23"/>
        <v>96956.597066832124</v>
      </c>
      <c r="D165" s="15">
        <f t="shared" si="24"/>
        <v>28462.825206395428</v>
      </c>
      <c r="E165" s="19">
        <v>0.56856911008926159</v>
      </c>
      <c r="F165" s="15">
        <f t="shared" si="25"/>
        <v>16183.083198226452</v>
      </c>
      <c r="G165" s="15">
        <f>IF(ISERROR(B164),NA(),SUM(F$145:F165))</f>
        <v>614117.08117906295</v>
      </c>
      <c r="M165" s="3">
        <f t="shared" si="26"/>
        <v>20</v>
      </c>
      <c r="N165" s="15">
        <f t="shared" si="28"/>
        <v>122261.20344416465</v>
      </c>
      <c r="O165" s="15">
        <f t="shared" si="27"/>
        <v>35891.309806965655</v>
      </c>
      <c r="P165" s="19">
        <v>0.73852850924141866</v>
      </c>
      <c r="Q165" s="15">
        <f t="shared" si="29"/>
        <v>26506.755526460256</v>
      </c>
      <c r="R165" s="15">
        <f>IF(ISERROR(M164),NA(),SUM(Q$145:Q165))</f>
        <v>868000.32695321611</v>
      </c>
    </row>
    <row r="166" spans="2:18">
      <c r="B166" s="3">
        <v>21</v>
      </c>
      <c r="C166" s="15">
        <f t="shared" si="23"/>
        <v>99865.29497883709</v>
      </c>
      <c r="D166" s="15">
        <f t="shared" si="24"/>
        <v>27574.031191297301</v>
      </c>
      <c r="E166" s="19">
        <v>0.53874243149331058</v>
      </c>
      <c r="F166" s="15">
        <f t="shared" si="25"/>
        <v>14855.300610071896</v>
      </c>
      <c r="G166" s="15">
        <f>IF(ISERROR(B165),NA(),SUM(F$145:F166))</f>
        <v>628972.38178913482</v>
      </c>
      <c r="M166" s="3">
        <v>21</v>
      </c>
      <c r="N166" s="15">
        <f t="shared" si="28"/>
        <v>125929.03954748959</v>
      </c>
      <c r="O166" s="15">
        <f t="shared" si="27"/>
        <v>34770.550320894115</v>
      </c>
      <c r="P166" s="19">
        <v>0.71705864962127008</v>
      </c>
      <c r="Q166" s="15">
        <f t="shared" si="29"/>
        <v>24932.523859688754</v>
      </c>
      <c r="R166" s="15">
        <f>IF(ISERROR(M165),NA(),SUM(Q$145:Q166))</f>
        <v>892932.85081290489</v>
      </c>
    </row>
    <row r="167" spans="2:18">
      <c r="B167" s="3">
        <v>22</v>
      </c>
      <c r="C167" s="15">
        <f t="shared" si="23"/>
        <v>102861.2538282022</v>
      </c>
      <c r="D167" s="15">
        <f t="shared" si="24"/>
        <v>26712.991090139414</v>
      </c>
      <c r="E167" s="19">
        <v>0.5078129876615135</v>
      </c>
      <c r="F167" s="15">
        <f t="shared" si="25"/>
        <v>13565.203814859087</v>
      </c>
      <c r="G167" s="15">
        <f>IF(ISERROR(B166),NA(),SUM(F$145:F167))</f>
        <v>642537.58560399385</v>
      </c>
      <c r="M167" s="3">
        <v>22</v>
      </c>
      <c r="N167" s="15">
        <f t="shared" si="28"/>
        <v>129706.91073391428</v>
      </c>
      <c r="O167" s="15">
        <f t="shared" si="27"/>
        <v>33684.788215313158</v>
      </c>
      <c r="P167" s="19">
        <v>0.69410037618130105</v>
      </c>
      <c r="Q167" s="15">
        <f t="shared" si="29"/>
        <v>23380.62417183632</v>
      </c>
      <c r="R167" s="15">
        <f>IF(ISERROR(M166),NA(),SUM(Q$145:Q167))</f>
        <v>916313.47498474119</v>
      </c>
    </row>
    <row r="168" spans="2:18">
      <c r="B168" s="3">
        <v>23</v>
      </c>
      <c r="C168" s="15">
        <f t="shared" si="23"/>
        <v>105947.09144304827</v>
      </c>
      <c r="D168" s="15">
        <f t="shared" si="24"/>
        <v>25878.838245714443</v>
      </c>
      <c r="E168" s="19">
        <v>0.47592642683256697</v>
      </c>
      <c r="F168" s="15">
        <f t="shared" si="25"/>
        <v>12316.42301686085</v>
      </c>
      <c r="G168" s="15">
        <f>IF(ISERROR(B167),NA(),SUM(F$145:F168))</f>
        <v>654854.0086208547</v>
      </c>
      <c r="M168" s="3">
        <v>23</v>
      </c>
      <c r="N168" s="15">
        <f t="shared" si="28"/>
        <v>133598.1180559317</v>
      </c>
      <c r="O168" s="15">
        <f t="shared" si="27"/>
        <v>32632.93064500804</v>
      </c>
      <c r="P168" s="19">
        <v>0.66959252123028612</v>
      </c>
      <c r="Q168" s="15">
        <f t="shared" si="29"/>
        <v>21850.766305724002</v>
      </c>
      <c r="R168" s="15">
        <f>IF(ISERROR(M167),NA(),SUM(Q$145:Q168))</f>
        <v>938164.24129046523</v>
      </c>
    </row>
    <row r="169" spans="2:18">
      <c r="B169" s="3">
        <v>24</v>
      </c>
      <c r="C169" s="15">
        <f t="shared" si="23"/>
        <v>109125.50418633972</v>
      </c>
      <c r="D169" s="15">
        <f t="shared" si="24"/>
        <v>25070.733063474308</v>
      </c>
      <c r="E169" s="19">
        <v>0.44316597657144047</v>
      </c>
      <c r="F169" s="15">
        <f t="shared" si="25"/>
        <v>11110.495901436494</v>
      </c>
      <c r="G169" s="15">
        <f>IF(ISERROR(B168),NA(),SUM(F$145:F169))</f>
        <v>665964.50452229124</v>
      </c>
      <c r="M169" s="3">
        <v>24</v>
      </c>
      <c r="N169" s="15">
        <f t="shared" si="28"/>
        <v>137606.06159760966</v>
      </c>
      <c r="O169" s="15">
        <f t="shared" si="27"/>
        <v>31613.918890479959</v>
      </c>
      <c r="P169" s="19">
        <v>0.64351469553781693</v>
      </c>
      <c r="Q169" s="15">
        <f t="shared" si="29"/>
        <v>20344.021389564452</v>
      </c>
      <c r="R169" s="15">
        <f>IF(ISERROR(M168),NA(),SUM(Q$145:Q169))</f>
        <v>958508.26268002973</v>
      </c>
    </row>
    <row r="170" spans="2:18">
      <c r="B170" s="3">
        <v>25</v>
      </c>
      <c r="C170" s="15">
        <f t="shared" si="23"/>
        <v>112399.26931192991</v>
      </c>
      <c r="D170" s="15">
        <f t="shared" si="24"/>
        <v>24287.86216645837</v>
      </c>
      <c r="E170" s="19">
        <v>0.40960446099748238</v>
      </c>
      <c r="F170" s="15">
        <f t="shared" si="25"/>
        <v>9948.416691473325</v>
      </c>
      <c r="G170" s="15">
        <f>IF(ISERROR(B169),NA(),SUM(F$145:F170))</f>
        <v>675912.92121376458</v>
      </c>
      <c r="M170" s="3">
        <v>25</v>
      </c>
      <c r="N170" s="15">
        <f t="shared" si="28"/>
        <v>141734.24344553796</v>
      </c>
      <c r="O170" s="15">
        <f t="shared" si="27"/>
        <v>30626.727292319749</v>
      </c>
      <c r="P170" s="19">
        <v>0.61580573141266781</v>
      </c>
      <c r="Q170" s="15">
        <f t="shared" si="29"/>
        <v>18860.11420102328</v>
      </c>
      <c r="R170" s="15">
        <f>IF(ISERROR(M169),NA(),SUM(Q$145:Q170))</f>
        <v>977368.37688105297</v>
      </c>
    </row>
    <row r="171" spans="2:18">
      <c r="B171" s="3">
        <v>26</v>
      </c>
      <c r="C171" s="15">
        <f t="shared" si="23"/>
        <v>115771.2473912878</v>
      </c>
      <c r="D171" s="15">
        <f t="shared" si="24"/>
        <v>23529.437576610348</v>
      </c>
      <c r="E171" s="19">
        <v>0.37541873868625286</v>
      </c>
      <c r="F171" s="15">
        <f t="shared" si="25"/>
        <v>8833.3917770079788</v>
      </c>
      <c r="G171" s="15">
        <f>IF(ISERROR(B170),NA(),SUM(F$145:F171))</f>
        <v>684746.31299077254</v>
      </c>
      <c r="M171" s="3">
        <v>26</v>
      </c>
      <c r="N171" s="15">
        <f t="shared" si="28"/>
        <v>145986.27074890409</v>
      </c>
      <c r="O171" s="15">
        <f t="shared" si="27"/>
        <v>29670.362218857546</v>
      </c>
      <c r="P171" s="19">
        <v>0.58639426654840909</v>
      </c>
      <c r="Q171" s="15">
        <f t="shared" si="29"/>
        <v>17398.530291552597</v>
      </c>
      <c r="R171" s="15">
        <f>IF(ISERROR(M170),NA(),SUM(Q$145:Q171))</f>
        <v>994766.90717260563</v>
      </c>
    </row>
    <row r="172" spans="2:18">
      <c r="B172" s="3">
        <v>27</v>
      </c>
      <c r="C172" s="15">
        <f t="shared" si="23"/>
        <v>119244.38481302644</v>
      </c>
      <c r="D172" s="15">
        <f t="shared" si="24"/>
        <v>22794.695921659768</v>
      </c>
      <c r="E172" s="19">
        <v>0.34082728199579698</v>
      </c>
      <c r="F172" s="15">
        <f t="shared" si="25"/>
        <v>7769.0542548999774</v>
      </c>
      <c r="G172" s="15">
        <f>IF(ISERROR(B171),NA(),SUM(F$145:F172))</f>
        <v>692515.3672456725</v>
      </c>
      <c r="M172" s="3">
        <v>27</v>
      </c>
      <c r="N172" s="15">
        <f t="shared" si="28"/>
        <v>150365.85887137122</v>
      </c>
      <c r="O172" s="15">
        <f t="shared" si="27"/>
        <v>28743.861066048987</v>
      </c>
      <c r="P172" s="19">
        <v>0.55519874402340685</v>
      </c>
      <c r="Q172" s="15">
        <f t="shared" si="29"/>
        <v>15958.555562253701</v>
      </c>
      <c r="R172" s="15">
        <f>IF(ISERROR(M171),NA(),SUM(Q$145:Q172))</f>
        <v>1010725.4627348593</v>
      </c>
    </row>
    <row r="173" spans="2:18">
      <c r="B173" s="3">
        <v>28</v>
      </c>
      <c r="C173" s="15">
        <f t="shared" si="23"/>
        <v>122821.71635741723</v>
      </c>
      <c r="D173" s="15">
        <f t="shared" si="24"/>
        <v>22082.897666769713</v>
      </c>
      <c r="E173" s="19">
        <v>0.30613179084912923</v>
      </c>
      <c r="F173" s="15">
        <f t="shared" si="25"/>
        <v>6760.2770098662695</v>
      </c>
      <c r="G173" s="15">
        <f>IF(ISERROR(B172),NA(),SUM(F$145:F173))</f>
        <v>699275.64425553882</v>
      </c>
      <c r="M173" s="3">
        <v>28</v>
      </c>
      <c r="N173" s="15">
        <f t="shared" si="28"/>
        <v>154876.83463751237</v>
      </c>
      <c r="O173" s="15">
        <f t="shared" si="27"/>
        <v>27846.291288591474</v>
      </c>
      <c r="P173" s="19">
        <v>0.52229052614409066</v>
      </c>
      <c r="Q173" s="15">
        <f t="shared" si="29"/>
        <v>14543.854128280049</v>
      </c>
      <c r="R173" s="15">
        <f>IF(ISERROR(M172),NA(),SUM(Q$145:Q173))</f>
        <v>1025269.3168631394</v>
      </c>
    </row>
    <row r="174" spans="2:18">
      <c r="B174" s="3">
        <v>29</v>
      </c>
      <c r="C174" s="15">
        <f t="shared" si="23"/>
        <v>126506.36784813975</v>
      </c>
      <c r="D174" s="15">
        <f t="shared" si="24"/>
        <v>21393.32637017758</v>
      </c>
      <c r="E174" s="19">
        <v>0.27169638584299122</v>
      </c>
      <c r="F174" s="15">
        <f t="shared" si="25"/>
        <v>5812.4894559368067</v>
      </c>
      <c r="G174" s="15">
        <f>IF(ISERROR(B173),NA(),SUM(F$145:F174))</f>
        <v>705088.13371147565</v>
      </c>
      <c r="M174" s="3">
        <v>29</v>
      </c>
      <c r="N174" s="15">
        <f t="shared" si="28"/>
        <v>159523.13967663774</v>
      </c>
      <c r="O174" s="15">
        <f t="shared" si="27"/>
        <v>26976.749461295352</v>
      </c>
      <c r="P174" s="19">
        <v>0.48778175367770743</v>
      </c>
      <c r="Q174" s="15">
        <f t="shared" si="29"/>
        <v>13158.766160754796</v>
      </c>
      <c r="R174" s="15">
        <f>IF(ISERROR(M173),NA(),SUM(Q$145:Q174))</f>
        <v>1038428.0830238942</v>
      </c>
    </row>
    <row r="175" spans="2:18">
      <c r="B175" s="3">
        <v>30</v>
      </c>
      <c r="C175" s="15">
        <f t="shared" si="23"/>
        <v>130301.55888358394</v>
      </c>
      <c r="D175" s="15">
        <f t="shared" si="24"/>
        <v>20725.287962079492</v>
      </c>
      <c r="E175" s="19">
        <v>0.23796841513909406</v>
      </c>
      <c r="F175" s="15">
        <f t="shared" si="25"/>
        <v>4931.9639296374016</v>
      </c>
      <c r="G175" s="15">
        <f>IF(ISERROR(B174),NA(),SUM(F$145:F175))</f>
        <v>710020.0976411131</v>
      </c>
      <c r="M175" s="3">
        <v>30</v>
      </c>
      <c r="N175" s="15">
        <f t="shared" si="28"/>
        <v>164308.83386693688</v>
      </c>
      <c r="O175" s="15">
        <f t="shared" si="27"/>
        <v>26134.360369765072</v>
      </c>
      <c r="P175" s="19">
        <v>0.45183554046752505</v>
      </c>
      <c r="Q175" s="15">
        <f t="shared" si="29"/>
        <v>11808.432842445869</v>
      </c>
      <c r="R175" s="15">
        <f>IF(ISERROR(M174),NA(),SUM(Q$145:Q175))</f>
        <v>1050236.5158663401</v>
      </c>
    </row>
    <row r="176" spans="2:18">
      <c r="B176" s="3"/>
      <c r="C176" s="15"/>
      <c r="D176" s="15"/>
      <c r="E176" s="19"/>
      <c r="F176" s="15"/>
      <c r="G176" s="15"/>
      <c r="M176" s="3">
        <v>31</v>
      </c>
      <c r="N176" s="15">
        <f t="shared" si="28"/>
        <v>169238.09888294499</v>
      </c>
      <c r="O176" s="15">
        <f t="shared" si="27"/>
        <v>25318.276129475194</v>
      </c>
      <c r="P176" s="19">
        <v>0.41469655727844551</v>
      </c>
      <c r="Q176" s="15">
        <f t="shared" si="29"/>
        <v>10499.401947118409</v>
      </c>
      <c r="R176" s="15">
        <f>IF(ISERROR(M175),NA(),SUM(Q$145:Q176))</f>
        <v>1060735.9178134585</v>
      </c>
    </row>
    <row r="177" spans="2:18">
      <c r="B177" s="3"/>
      <c r="C177" s="15"/>
      <c r="E177" s="19"/>
      <c r="F177" s="15"/>
      <c r="M177" s="3">
        <v>32</v>
      </c>
      <c r="N177" s="15">
        <f t="shared" si="28"/>
        <v>174315.24184943334</v>
      </c>
      <c r="O177" s="15">
        <f t="shared" si="27"/>
        <v>24527.675332354636</v>
      </c>
      <c r="P177" s="19">
        <v>0.37666044795139209</v>
      </c>
      <c r="Q177" s="15">
        <f t="shared" si="29"/>
        <v>9238.6051778910078</v>
      </c>
      <c r="R177" s="15">
        <f>IF(ISERROR(M176),NA(),SUM(Q$145:Q177))</f>
        <v>1069974.5229913495</v>
      </c>
    </row>
    <row r="178" spans="2:18">
      <c r="B178" s="3"/>
      <c r="C178" s="15"/>
      <c r="D178" s="30" t="s">
        <v>266</v>
      </c>
      <c r="E178" s="30"/>
      <c r="F178" s="15"/>
      <c r="G178" s="30" t="s">
        <v>270</v>
      </c>
      <c r="M178" s="3">
        <v>33</v>
      </c>
      <c r="N178" s="15">
        <f t="shared" si="28"/>
        <v>179544.69910491633</v>
      </c>
      <c r="O178" s="15">
        <f t="shared" si="27"/>
        <v>23761.762220020013</v>
      </c>
      <c r="P178" s="19">
        <v>0.33813499709453465</v>
      </c>
      <c r="Q178" s="15">
        <f t="shared" si="29"/>
        <v>8034.6833992274906</v>
      </c>
      <c r="R178" s="15">
        <f>IF(ISERROR(M177),NA(),SUM(Q$145:Q178))</f>
        <v>1078009.2063905769</v>
      </c>
    </row>
    <row r="179" spans="2:18" ht="15.75">
      <c r="B179" s="3"/>
      <c r="C179" s="15"/>
      <c r="D179" t="s">
        <v>255</v>
      </c>
      <c r="E179" s="15">
        <f>G175</f>
        <v>710020.0976411131</v>
      </c>
      <c r="F179" s="15"/>
      <c r="H179" s="123" t="s">
        <v>271</v>
      </c>
      <c r="I179" s="123" t="s">
        <v>272</v>
      </c>
      <c r="M179" s="3">
        <v>34</v>
      </c>
      <c r="N179" s="15">
        <f t="shared" si="28"/>
        <v>184931.04007806382</v>
      </c>
      <c r="O179" s="15">
        <f t="shared" si="27"/>
        <v>23019.765882826014</v>
      </c>
      <c r="P179" s="19">
        <v>0.29958915700726874</v>
      </c>
      <c r="Q179" s="15">
        <f t="shared" si="29"/>
        <v>6896.4722553405309</v>
      </c>
      <c r="R179" s="15">
        <f>IF(ISERROR(M178),NA(),SUM(Q$145:Q179))</f>
        <v>1084905.6786459174</v>
      </c>
    </row>
    <row r="180" spans="2:18" ht="15.75">
      <c r="D180" t="s">
        <v>256</v>
      </c>
      <c r="E180" s="15">
        <f>R183</f>
        <v>1102750.754052097</v>
      </c>
      <c r="G180" s="122" t="s">
        <v>273</v>
      </c>
      <c r="H180" s="18">
        <v>0.4</v>
      </c>
      <c r="I180" s="18">
        <v>0.08</v>
      </c>
      <c r="M180" s="3">
        <v>35</v>
      </c>
      <c r="N180" s="15">
        <f t="shared" si="28"/>
        <v>190478.97128040573</v>
      </c>
      <c r="O180" s="15">
        <f t="shared" si="27"/>
        <v>22300.939483926635</v>
      </c>
      <c r="P180" s="19">
        <v>0.26159382614103233</v>
      </c>
      <c r="Q180" s="15">
        <f t="shared" si="29"/>
        <v>5833.7880861399872</v>
      </c>
      <c r="R180" s="15">
        <f>IF(ISERROR(M179),NA(),SUM(Q$145:Q180))</f>
        <v>1090739.4667320575</v>
      </c>
    </row>
    <row r="181" spans="2:18" ht="15.75">
      <c r="D181" s="114" t="s">
        <v>240</v>
      </c>
      <c r="E181" s="121">
        <f>SUM(E179:E180)</f>
        <v>1812770.8516932102</v>
      </c>
      <c r="G181" s="122" t="s">
        <v>274</v>
      </c>
      <c r="H181" s="18">
        <v>0.6</v>
      </c>
      <c r="I181" s="18">
        <v>5.1999999999999998E-2</v>
      </c>
      <c r="M181" s="3">
        <v>36</v>
      </c>
      <c r="N181" s="15">
        <f t="shared" si="28"/>
        <v>196193.34041881791</v>
      </c>
      <c r="O181" s="15">
        <f t="shared" si="27"/>
        <v>21604.559507566246</v>
      </c>
      <c r="P181" s="19">
        <v>0.22476068140808025</v>
      </c>
      <c r="Q181" s="15">
        <f t="shared" si="29"/>
        <v>4855.8555164420086</v>
      </c>
      <c r="R181" s="15">
        <f>IF(ISERROR(M180),NA(),SUM(Q$145:Q181))</f>
        <v>1095595.3222484996</v>
      </c>
    </row>
    <row r="182" spans="2:18" ht="15.75">
      <c r="G182" s="123" t="s">
        <v>1</v>
      </c>
      <c r="H182" s="116">
        <f>SUM(H180:H181)</f>
        <v>1</v>
      </c>
      <c r="I182" s="124">
        <f>H180*I180+H181*I181</f>
        <v>6.3200000000000006E-2</v>
      </c>
      <c r="M182" s="3">
        <v>37</v>
      </c>
      <c r="N182" s="15">
        <f t="shared" si="28"/>
        <v>202079.14063138244</v>
      </c>
      <c r="O182" s="15">
        <f t="shared" si="27"/>
        <v>20929.925030843897</v>
      </c>
      <c r="P182" s="19">
        <v>0.18972178895107605</v>
      </c>
      <c r="Q182" s="15">
        <f t="shared" si="29"/>
        <v>3970.8628194636099</v>
      </c>
      <c r="R182" s="15">
        <f>IF(ISERROR(M181),NA(),SUM(Q$145:Q182))</f>
        <v>1099566.1850679633</v>
      </c>
    </row>
    <row r="183" spans="2:18">
      <c r="D183" t="s">
        <v>269</v>
      </c>
      <c r="E183" s="19">
        <f>Targets!C20</f>
        <v>0.03</v>
      </c>
      <c r="M183" s="3">
        <v>38</v>
      </c>
      <c r="N183" s="15">
        <f t="shared" si="28"/>
        <v>208141.51485032393</v>
      </c>
      <c r="O183" s="15">
        <f t="shared" si="27"/>
        <v>20276.357018217852</v>
      </c>
      <c r="P183" s="19">
        <v>0.15705824183666187</v>
      </c>
      <c r="Q183" s="15">
        <f t="shared" si="29"/>
        <v>3184.5689841337553</v>
      </c>
      <c r="R183" s="15">
        <f>IF(ISERROR(M182),NA(),SUM(Q$145:Q183))</f>
        <v>1102750.754052097</v>
      </c>
    </row>
    <row r="184" spans="2:18" ht="35.25" customHeight="1">
      <c r="D184" s="125" t="s">
        <v>280</v>
      </c>
      <c r="E184" s="121">
        <f>E181/(1+E183)^20</f>
        <v>1003687.2684782429</v>
      </c>
    </row>
    <row r="186" spans="2:18">
      <c r="N186" s="15"/>
    </row>
    <row r="187" spans="2:18">
      <c r="E187" s="22"/>
    </row>
    <row r="196" spans="4:4">
      <c r="D196" s="47"/>
    </row>
  </sheetData>
  <mergeCells count="3">
    <mergeCell ref="B10:H10"/>
    <mergeCell ref="P33:R34"/>
    <mergeCell ref="E33:G34"/>
  </mergeCells>
  <hyperlinks>
    <hyperlink ref="E140" r:id="rId1" display="https://corporate.vanguard.com/content/corporatesite/us/en/corp/who-we-are/pressroom/press-release-vanguard-releases-2024-economic-and-market-outlook-12122023.html" xr:uid="{1D049162-F957-499B-AA82-4BFE2F2CE9AB}"/>
  </hyperlinks>
  <pageMargins left="0.7" right="0.7" top="0.75" bottom="0.75" header="0.3" footer="0.3"/>
  <pageSetup paperSize="9" orientation="portrait" r:id="rId2"/>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5647F-675D-42EB-9161-FB56A919AF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Targets</vt:lpstr>
      <vt:lpstr>Wealth</vt:lpstr>
      <vt:lpstr>Risk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RUI CASEIRO</cp:lastModifiedBy>
  <dcterms:created xsi:type="dcterms:W3CDTF">2021-05-10T12:17:29Z</dcterms:created>
  <dcterms:modified xsi:type="dcterms:W3CDTF">2025-04-15T08:43:45Z</dcterms:modified>
</cp:coreProperties>
</file>