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conda\Documents\Node_JS\Intro_Software\REACT_Native\Sandvik\Excel\"/>
    </mc:Choice>
  </mc:AlternateContent>
  <xr:revisionPtr revIDLastSave="0" documentId="13_ncr:1_{16017773-9CF8-4847-AD1B-A79B3118FBD6}" xr6:coauthVersionLast="45" xr6:coauthVersionMax="45" xr10:uidLastSave="{00000000-0000-0000-0000-000000000000}"/>
  <bookViews>
    <workbookView xWindow="4824" yWindow="324" windowWidth="10368" windowHeight="5952" xr2:uid="{1E8DBCC9-7E63-45D7-8A1F-24A422C36920}"/>
  </bookViews>
  <sheets>
    <sheet name="Summary" sheetId="1" r:id="rId1"/>
    <sheet name="Water Fall Info" sheetId="2" r:id="rId2"/>
  </sheets>
  <definedNames>
    <definedName name="_xlchart.v1.0" hidden="1">'Water Fall Info'!$M$20:$M$24</definedName>
    <definedName name="_xlchart.v1.1" hidden="1">'Water Fall Info'!$N$19</definedName>
    <definedName name="_xlchart.v1.10" hidden="1">'Water Fall Info'!$O$28</definedName>
    <definedName name="_xlchart.v1.11" hidden="1">'Water Fall Info'!$O$29:$O$33</definedName>
    <definedName name="_xlchart.v1.12" hidden="1">'Water Fall Info'!$P$28</definedName>
    <definedName name="_xlchart.v1.13" hidden="1">'Water Fall Info'!$P$29:$P$33</definedName>
    <definedName name="_xlchart.v1.14" hidden="1">'Water Fall Info'!$M$29:$M$33</definedName>
    <definedName name="_xlchart.v1.15" hidden="1">'Water Fall Info'!$N$28</definedName>
    <definedName name="_xlchart.v1.16" hidden="1">'Water Fall Info'!$N$29:$N$33</definedName>
    <definedName name="_xlchart.v1.17" hidden="1">'Water Fall Info'!$O$28</definedName>
    <definedName name="_xlchart.v1.18" hidden="1">'Water Fall Info'!$O$29:$O$33</definedName>
    <definedName name="_xlchart.v1.19" hidden="1">'Water Fall Info'!$P$28</definedName>
    <definedName name="_xlchart.v1.2" hidden="1">'Water Fall Info'!$N$20:$N$24</definedName>
    <definedName name="_xlchart.v1.20" hidden="1">'Water Fall Info'!$P$29:$P$33</definedName>
    <definedName name="_xlchart.v1.21" hidden="1">'Water Fall Info'!$M$20:$M$24</definedName>
    <definedName name="_xlchart.v1.22" hidden="1">'Water Fall Info'!$N$19</definedName>
    <definedName name="_xlchart.v1.23" hidden="1">'Water Fall Info'!$N$20:$N$24</definedName>
    <definedName name="_xlchart.v1.24" hidden="1">'Water Fall Info'!$O$19</definedName>
    <definedName name="_xlchart.v1.25" hidden="1">'Water Fall Info'!$O$20:$O$24</definedName>
    <definedName name="_xlchart.v1.26" hidden="1">'Water Fall Info'!$P$19</definedName>
    <definedName name="_xlchart.v1.27" hidden="1">'Water Fall Info'!$P$20:$P$24</definedName>
    <definedName name="_xlchart.v1.3" hidden="1">'Water Fall Info'!$O$19</definedName>
    <definedName name="_xlchart.v1.4" hidden="1">'Water Fall Info'!$O$20:$O$24</definedName>
    <definedName name="_xlchart.v1.5" hidden="1">'Water Fall Info'!$P$19</definedName>
    <definedName name="_xlchart.v1.6" hidden="1">'Water Fall Info'!$P$20:$P$24</definedName>
    <definedName name="_xlchart.v1.7" hidden="1">'Water Fall Info'!$M$29:$M$33</definedName>
    <definedName name="_xlchart.v1.8" hidden="1">'Water Fall Info'!$N$28</definedName>
    <definedName name="_xlchart.v1.9" hidden="1">'Water Fall Info'!$N$29:$N$33</definedName>
    <definedName name="Shift">'Water Fall Info'!$O$15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7" i="2" l="1"/>
  <c r="B17" i="2"/>
  <c r="L4" i="1" l="1"/>
  <c r="L3" i="1"/>
  <c r="J6" i="1"/>
  <c r="M4" i="1" l="1"/>
  <c r="H7" i="2" l="1"/>
  <c r="H8" i="2" s="1"/>
  <c r="H14" i="2"/>
  <c r="H15" i="2"/>
  <c r="G14" i="2"/>
  <c r="G15" i="2" s="1"/>
  <c r="F14" i="2"/>
  <c r="G7" i="2"/>
  <c r="H16" i="2" l="1"/>
  <c r="N15" i="2" s="1"/>
  <c r="N16" i="2" s="1"/>
  <c r="N17" i="2" s="1"/>
  <c r="I24" i="2" s="1"/>
  <c r="I33" i="2" s="1"/>
  <c r="N6" i="2" l="1"/>
  <c r="N7" i="2" l="1"/>
  <c r="N8" i="2" s="1"/>
  <c r="G8" i="2"/>
  <c r="G16" i="2" s="1"/>
  <c r="D11" i="1" l="1"/>
  <c r="I6" i="1" s="1"/>
  <c r="I7" i="1" s="1"/>
  <c r="D10" i="1" l="1"/>
  <c r="E14" i="1" s="1"/>
  <c r="E15" i="1" s="1"/>
  <c r="D12" i="1" s="1"/>
  <c r="L10" i="1" s="1"/>
  <c r="H10" i="1" s="1"/>
  <c r="N14" i="1"/>
  <c r="B33" i="2" l="1"/>
  <c r="B10" i="2" l="1"/>
  <c r="B11" i="2" s="1"/>
  <c r="B12" i="2" s="1"/>
  <c r="C29" i="2" l="1"/>
  <c r="B29" i="2"/>
  <c r="C25" i="2"/>
  <c r="B25" i="2"/>
  <c r="C28" i="2" l="1"/>
  <c r="B28" i="2"/>
  <c r="B31" i="2" l="1"/>
  <c r="G21" i="2" s="1"/>
  <c r="K6" i="2"/>
  <c r="B32" i="2" l="1"/>
  <c r="J13" i="1" s="1"/>
  <c r="B34" i="2"/>
  <c r="J12" i="1" l="1"/>
  <c r="J14" i="1"/>
  <c r="J11" i="1" l="1"/>
  <c r="F21" i="2"/>
  <c r="F22" i="2"/>
  <c r="F6" i="2" l="1"/>
  <c r="F7" i="2" l="1"/>
  <c r="F8" i="2" s="1"/>
  <c r="G22" i="2"/>
  <c r="K7" i="2"/>
  <c r="H21" i="2"/>
  <c r="F20" i="2"/>
  <c r="K11" i="1"/>
  <c r="K12" i="1" l="1"/>
  <c r="I11" i="1"/>
  <c r="H11" i="1" s="1"/>
  <c r="L11" i="1" s="1"/>
  <c r="F29" i="2"/>
  <c r="N20" i="2"/>
  <c r="G31" i="2"/>
  <c r="N21" i="2"/>
  <c r="N30" i="2" s="1"/>
  <c r="I21" i="2"/>
  <c r="I12" i="1" l="1"/>
  <c r="H12" i="1" s="1"/>
  <c r="L12" i="1" s="1"/>
  <c r="M12" i="1" s="1"/>
  <c r="K13" i="1"/>
  <c r="P20" i="2"/>
  <c r="N29" i="2"/>
  <c r="P29" i="2" s="1"/>
  <c r="P21" i="2"/>
  <c r="H31" i="2"/>
  <c r="I31" i="2"/>
  <c r="I8" i="1"/>
  <c r="F31" i="2"/>
  <c r="J7" i="1" l="1"/>
  <c r="P30" i="2"/>
  <c r="M11" i="1"/>
  <c r="F15" i="2" l="1"/>
  <c r="F16" i="2" s="1"/>
  <c r="N11" i="2" s="1"/>
  <c r="K8" i="2" l="1"/>
  <c r="N12" i="2" l="1"/>
  <c r="N13" i="2" s="1"/>
  <c r="H23" i="2" l="1"/>
  <c r="N13" i="1"/>
  <c r="I13" i="1" s="1"/>
  <c r="H13" i="1" l="1"/>
  <c r="L13" i="1"/>
  <c r="K14" i="1"/>
  <c r="I14" i="1" s="1"/>
  <c r="I23" i="2"/>
  <c r="G23" i="2"/>
  <c r="G24" i="2" s="1"/>
  <c r="L14" i="1" l="1"/>
  <c r="H14" i="1"/>
  <c r="G32" i="2"/>
  <c r="N22" i="2"/>
  <c r="G33" i="2"/>
  <c r="N23" i="2"/>
  <c r="N32" i="2" s="1"/>
  <c r="H24" i="2"/>
  <c r="P22" i="2" l="1"/>
  <c r="N31" i="2"/>
  <c r="P32" i="2" s="1"/>
  <c r="M13" i="1"/>
  <c r="M14" i="1"/>
  <c r="H32" i="2"/>
  <c r="I32" i="2" s="1"/>
  <c r="H33" i="2"/>
  <c r="N24" i="2"/>
  <c r="N33" i="2" s="1"/>
  <c r="P23" i="2"/>
  <c r="P31" i="2" l="1"/>
</calcChain>
</file>

<file path=xl/sharedStrings.xml><?xml version="1.0" encoding="utf-8"?>
<sst xmlns="http://schemas.openxmlformats.org/spreadsheetml/2006/main" count="170" uniqueCount="130">
  <si>
    <t>Bit</t>
  </si>
  <si>
    <t>in</t>
  </si>
  <si>
    <t>Burden</t>
  </si>
  <si>
    <t>m</t>
  </si>
  <si>
    <t>Spacing</t>
  </si>
  <si>
    <t>Sub-Drilling</t>
  </si>
  <si>
    <t>Bench</t>
  </si>
  <si>
    <t>Rock density</t>
  </si>
  <si>
    <t>Ton/m3</t>
  </si>
  <si>
    <t>Drilling Index</t>
  </si>
  <si>
    <t>Ton/m</t>
  </si>
  <si>
    <t>Ton/Hole</t>
  </si>
  <si>
    <t>Ton</t>
  </si>
  <si>
    <t>Month</t>
  </si>
  <si>
    <t>Holes</t>
  </si>
  <si>
    <t>Hours</t>
  </si>
  <si>
    <t>Total_Ton</t>
  </si>
  <si>
    <t xml:space="preserve">The mine needs per Drill Rig; </t>
  </si>
  <si>
    <t>Mechanical Avalability: 90%</t>
  </si>
  <si>
    <t xml:space="preserve">UCS </t>
  </si>
  <si>
    <t>Metres</t>
  </si>
  <si>
    <t>Pen rate</t>
  </si>
  <si>
    <t>Target per rig</t>
  </si>
  <si>
    <t>Pen rate is required to meet target based on hours</t>
  </si>
  <si>
    <t>% of Target</t>
  </si>
  <si>
    <t>Current Scenario</t>
  </si>
  <si>
    <t>Customer question</t>
  </si>
  <si>
    <t>Why can you drill faster?</t>
  </si>
  <si>
    <t>Why can you get more hours than  my DML?</t>
  </si>
  <si>
    <t>Sandvik Scenario 1</t>
  </si>
  <si>
    <t>Sandvik Scenario 2</t>
  </si>
  <si>
    <t>Sandvik Scenario 3</t>
  </si>
  <si>
    <t>m/hr</t>
  </si>
  <si>
    <t>Can we increase to a 12 metre bench</t>
  </si>
  <si>
    <t>DML are very simple machines  if we cant matain them how can we matain you more complex machine?</t>
  </si>
  <si>
    <t>Tram to New Hole</t>
  </si>
  <si>
    <t>Set up and level</t>
  </si>
  <si>
    <t>De-level</t>
  </si>
  <si>
    <t>Tam to new hole</t>
  </si>
  <si>
    <t>sec</t>
  </si>
  <si>
    <t>min</t>
  </si>
  <si>
    <t>m/hour</t>
  </si>
  <si>
    <t>Current Hole</t>
  </si>
  <si>
    <t>Depth</t>
  </si>
  <si>
    <t>metres</t>
  </si>
  <si>
    <t>Holes per hour</t>
  </si>
  <si>
    <t>holes</t>
  </si>
  <si>
    <t>Tram &amp; Set per hour</t>
  </si>
  <si>
    <t>Net Saving per hour</t>
  </si>
  <si>
    <t>Min</t>
  </si>
  <si>
    <t>m/min</t>
  </si>
  <si>
    <t>Increase in  productivity</t>
  </si>
  <si>
    <t xml:space="preserve">% </t>
  </si>
  <si>
    <t>Proposed Hole</t>
  </si>
  <si>
    <t>Shift Hours</t>
  </si>
  <si>
    <t>Proposed</t>
  </si>
  <si>
    <t>Shift Hours Ave</t>
  </si>
  <si>
    <t>Productivity Metres</t>
  </si>
  <si>
    <t>Productivity Gain drill M</t>
  </si>
  <si>
    <t>Aver DM per Shift</t>
  </si>
  <si>
    <t>Manned</t>
  </si>
  <si>
    <t>Shift Times</t>
  </si>
  <si>
    <t>Day</t>
  </si>
  <si>
    <t>Night</t>
  </si>
  <si>
    <t>Work Hours</t>
  </si>
  <si>
    <t>PSI Meeting</t>
  </si>
  <si>
    <t>Travel Onsite</t>
  </si>
  <si>
    <t>Pre-start</t>
  </si>
  <si>
    <t>Fuel/ Lubes</t>
  </si>
  <si>
    <t>Water</t>
  </si>
  <si>
    <t>Lunch</t>
  </si>
  <si>
    <t>End of Shift</t>
  </si>
  <si>
    <t>Nett Blast Loss</t>
  </si>
  <si>
    <t>Time Lost per Blast</t>
  </si>
  <si>
    <t>Blasting Frequency</t>
  </si>
  <si>
    <t>Paid Hrs</t>
  </si>
  <si>
    <t>Hour Day</t>
  </si>
  <si>
    <t>Rig Availability</t>
  </si>
  <si>
    <t>Mechanical Down Time</t>
  </si>
  <si>
    <t>Shift roster Hours</t>
  </si>
  <si>
    <t>hours</t>
  </si>
  <si>
    <t>Calender hours</t>
  </si>
  <si>
    <t>Ave Calender hours</t>
  </si>
  <si>
    <t>Year</t>
  </si>
  <si>
    <t>Shifts Average</t>
  </si>
  <si>
    <t>% Gain on Base</t>
  </si>
  <si>
    <t>Current Base</t>
  </si>
  <si>
    <t>Base</t>
  </si>
  <si>
    <t>Utilisation</t>
  </si>
  <si>
    <t>Bench height change</t>
  </si>
  <si>
    <t>Sandvik Tooling</t>
  </si>
  <si>
    <t>Based on increasing bench height</t>
  </si>
  <si>
    <t>Productivity increase Nett Pen Rate</t>
  </si>
  <si>
    <t>Water fall Gain calculator Metres</t>
  </si>
  <si>
    <t>Water fall Gain calculator Tonnes</t>
  </si>
  <si>
    <t>Productivity Gain drill t</t>
  </si>
  <si>
    <t>Productivity t/shift</t>
  </si>
  <si>
    <t>Aver tonne per Shift</t>
  </si>
  <si>
    <t>Increased Bench Height</t>
  </si>
  <si>
    <t>Grand Total</t>
  </si>
  <si>
    <t>Fall</t>
  </si>
  <si>
    <t>Rise</t>
  </si>
  <si>
    <t>Tonnes per Month</t>
  </si>
  <si>
    <t>Drill Metres per Month</t>
  </si>
  <si>
    <t>Average drill hours</t>
  </si>
  <si>
    <t>Hour Shift</t>
  </si>
  <si>
    <t xml:space="preserve">Mechanical Available </t>
  </si>
  <si>
    <t>per shift</t>
  </si>
  <si>
    <t xml:space="preserve">Utilisation of availability </t>
  </si>
  <si>
    <t xml:space="preserve">Data input cells </t>
  </si>
  <si>
    <t xml:space="preserve">Calculated cells </t>
  </si>
  <si>
    <t xml:space="preserve">Customer mine data </t>
  </si>
  <si>
    <t># of holes drilled/unit/month</t>
  </si>
  <si>
    <t xml:space="preserve">Utilized hours </t>
  </si>
  <si>
    <t>M/month</t>
  </si>
  <si>
    <t>current pen rate</t>
  </si>
  <si>
    <t>Actual Production</t>
  </si>
  <si>
    <t>Drill more than 8,800,000 Ton/month</t>
  </si>
  <si>
    <t>Estimate; Drilling index calculation</t>
  </si>
  <si>
    <t xml:space="preserve">Increase in fleet utilization </t>
  </si>
  <si>
    <t xml:space="preserve">Est </t>
  </si>
  <si>
    <t xml:space="preserve">Utilization 85% </t>
  </si>
  <si>
    <t xml:space="preserve">Time in Hole </t>
  </si>
  <si>
    <t xml:space="preserve">Pipe Change </t>
  </si>
  <si>
    <t xml:space="preserve">Total time per Hole </t>
  </si>
  <si>
    <t xml:space="preserve">Single pass </t>
  </si>
  <si>
    <t xml:space="preserve">Sandvik Tooling </t>
  </si>
  <si>
    <t>550 hr/month</t>
  </si>
  <si>
    <t>Est. w/  tooling</t>
  </si>
  <si>
    <t xml:space="preserve">Target Production T/month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</si>
</sst>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0.0%"/>
    <numFmt numFmtId="169" formatCode="#,##0.0&quot;hrs&quot;"/>
    <numFmt numFmtId="170" formatCode="0\ &quot;min&quot;"/>
    <numFmt numFmtId="171" formatCode="0\ &quot;per week&quot;"/>
    <numFmt numFmtId="172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3" applyNumberFormat="0" applyAlignment="0" applyProtection="0"/>
    <xf numFmtId="0" fontId="8" fillId="5" borderId="3" applyNumberFormat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5" fillId="2" borderId="0" xfId="0" applyFont="1" applyFill="1"/>
    <xf numFmtId="0" fontId="6" fillId="2" borderId="0" xfId="0" applyFont="1" applyFill="1"/>
    <xf numFmtId="43" fontId="0" fillId="2" borderId="0" xfId="0" applyNumberFormat="1" applyFill="1"/>
    <xf numFmtId="0" fontId="3" fillId="2" borderId="1" xfId="0" applyFont="1" applyFill="1" applyBorder="1"/>
    <xf numFmtId="167" fontId="8" fillId="5" borderId="3" xfId="4" applyNumberFormat="1"/>
    <xf numFmtId="0" fontId="3" fillId="2" borderId="4" xfId="0" applyFont="1" applyFill="1" applyBorder="1"/>
    <xf numFmtId="9" fontId="8" fillId="5" borderId="3" xfId="2" applyFont="1" applyFill="1" applyBorder="1"/>
    <xf numFmtId="0" fontId="0" fillId="2" borderId="0" xfId="0" applyFont="1" applyFill="1" applyBorder="1"/>
    <xf numFmtId="0" fontId="3" fillId="2" borderId="0" xfId="0" applyFont="1" applyFill="1"/>
    <xf numFmtId="1" fontId="0" fillId="2" borderId="0" xfId="0" applyNumberFormat="1" applyFill="1"/>
    <xf numFmtId="167" fontId="0" fillId="2" borderId="0" xfId="0" applyNumberFormat="1" applyFill="1"/>
    <xf numFmtId="9" fontId="9" fillId="5" borderId="3" xfId="4" applyNumberFormat="1" applyFont="1"/>
    <xf numFmtId="1" fontId="0" fillId="2" borderId="0" xfId="0" applyNumberFormat="1" applyFill="1" applyBorder="1"/>
    <xf numFmtId="1" fontId="0" fillId="0" borderId="0" xfId="0" applyNumberFormat="1"/>
    <xf numFmtId="166" fontId="8" fillId="5" borderId="3" xfId="4" applyNumberFormat="1"/>
    <xf numFmtId="168" fontId="8" fillId="5" borderId="3" xfId="4" applyNumberFormat="1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/>
    <xf numFmtId="0" fontId="3" fillId="0" borderId="6" xfId="0" applyFont="1" applyBorder="1"/>
    <xf numFmtId="1" fontId="8" fillId="5" borderId="1" xfId="4" applyNumberFormat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Fill="1" applyBorder="1"/>
    <xf numFmtId="0" fontId="0" fillId="0" borderId="0" xfId="0" applyFont="1"/>
    <xf numFmtId="0" fontId="10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9" fontId="7" fillId="4" borderId="3" xfId="3" applyNumberFormat="1" applyAlignment="1">
      <alignment horizontal="center" vertical="center"/>
    </xf>
    <xf numFmtId="170" fontId="8" fillId="5" borderId="3" xfId="4" applyNumberFormat="1" applyAlignment="1">
      <alignment horizontal="center" vertical="center"/>
    </xf>
    <xf numFmtId="170" fontId="7" fillId="4" borderId="3" xfId="3" applyNumberFormat="1" applyAlignment="1">
      <alignment horizontal="center" vertical="center"/>
    </xf>
    <xf numFmtId="171" fontId="7" fillId="4" borderId="3" xfId="3" applyNumberFormat="1" applyAlignment="1">
      <alignment horizontal="center" vertical="center"/>
    </xf>
    <xf numFmtId="169" fontId="8" fillId="5" borderId="3" xfId="4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3" xfId="3" applyAlignment="1">
      <alignment horizontal="center"/>
    </xf>
    <xf numFmtId="0" fontId="0" fillId="0" borderId="0" xfId="0" applyFont="1" applyFill="1" applyBorder="1"/>
    <xf numFmtId="0" fontId="8" fillId="5" borderId="3" xfId="4" applyAlignment="1">
      <alignment horizontal="center"/>
    </xf>
    <xf numFmtId="166" fontId="8" fillId="5" borderId="3" xfId="4" applyNumberFormat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166" fontId="8" fillId="5" borderId="1" xfId="4" applyNumberFormat="1" applyBorder="1"/>
    <xf numFmtId="2" fontId="8" fillId="5" borderId="1" xfId="4" applyNumberFormat="1" applyBorder="1"/>
    <xf numFmtId="9" fontId="8" fillId="5" borderId="1" xfId="4" applyNumberFormat="1" applyBorder="1"/>
    <xf numFmtId="0" fontId="8" fillId="5" borderId="1" xfId="4" applyBorder="1"/>
    <xf numFmtId="168" fontId="8" fillId="5" borderId="1" xfId="4" applyNumberFormat="1" applyBorder="1"/>
    <xf numFmtId="165" fontId="8" fillId="5" borderId="1" xfId="1" applyNumberFormat="1" applyFont="1" applyFill="1" applyBorder="1"/>
    <xf numFmtId="9" fontId="8" fillId="5" borderId="1" xfId="2" applyFont="1" applyFill="1" applyBorder="1"/>
    <xf numFmtId="168" fontId="8" fillId="5" borderId="1" xfId="2" applyNumberFormat="1" applyFont="1" applyFill="1" applyBorder="1"/>
    <xf numFmtId="165" fontId="0" fillId="0" borderId="0" xfId="1" applyNumberFormat="1" applyFont="1" applyFill="1" applyBorder="1"/>
    <xf numFmtId="165" fontId="8" fillId="0" borderId="0" xfId="1" applyNumberFormat="1" applyFont="1" applyFill="1" applyBorder="1"/>
    <xf numFmtId="9" fontId="0" fillId="0" borderId="0" xfId="2" applyFont="1"/>
    <xf numFmtId="0" fontId="2" fillId="0" borderId="0" xfId="0" applyFont="1" applyFill="1" applyBorder="1" applyAlignment="1">
      <alignment vertical="center"/>
    </xf>
    <xf numFmtId="168" fontId="8" fillId="5" borderId="3" xfId="2" applyNumberFormat="1" applyFont="1" applyFill="1" applyBorder="1"/>
    <xf numFmtId="10" fontId="7" fillId="4" borderId="3" xfId="3" applyNumberFormat="1"/>
    <xf numFmtId="172" fontId="8" fillId="5" borderId="3" xfId="4" applyNumberFormat="1" applyAlignment="1">
      <alignment horizontal="right"/>
    </xf>
    <xf numFmtId="166" fontId="7" fillId="4" borderId="3" xfId="3" applyNumberFormat="1" applyAlignment="1">
      <alignment horizontal="center"/>
    </xf>
    <xf numFmtId="3" fontId="0" fillId="0" borderId="0" xfId="0" applyNumberFormat="1"/>
    <xf numFmtId="1" fontId="8" fillId="5" borderId="1" xfId="2" applyNumberFormat="1" applyFont="1" applyFill="1" applyBorder="1"/>
    <xf numFmtId="172" fontId="8" fillId="5" borderId="3" xfId="4" applyNumberFormat="1"/>
    <xf numFmtId="167" fontId="8" fillId="5" borderId="7" xfId="4" applyNumberFormat="1" applyBorder="1"/>
    <xf numFmtId="1" fontId="8" fillId="5" borderId="3" xfId="4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/>
    <xf numFmtId="12" fontId="0" fillId="6" borderId="1" xfId="0" applyNumberFormat="1" applyFill="1" applyBorder="1"/>
    <xf numFmtId="0" fontId="0" fillId="6" borderId="2" xfId="0" applyFill="1" applyBorder="1"/>
    <xf numFmtId="0" fontId="0" fillId="6" borderId="1" xfId="0" applyFill="1" applyBorder="1"/>
    <xf numFmtId="3" fontId="0" fillId="6" borderId="5" xfId="0" applyNumberFormat="1" applyFill="1" applyBorder="1" applyAlignment="1">
      <alignment horizontal="right"/>
    </xf>
    <xf numFmtId="172" fontId="0" fillId="6" borderId="5" xfId="0" applyNumberFormat="1" applyFill="1" applyBorder="1" applyAlignment="1">
      <alignment horizontal="right"/>
    </xf>
    <xf numFmtId="166" fontId="0" fillId="0" borderId="0" xfId="0" applyNumberFormat="1" applyBorder="1"/>
    <xf numFmtId="9" fontId="7" fillId="4" borderId="3" xfId="3" applyNumberFormat="1"/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7" fillId="4" borderId="3" xfId="3" applyNumberFormat="1" applyAlignment="1">
      <alignment horizontal="center" vertical="center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5"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Tonnes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Tonnes Per Month</a:t>
          </a:r>
        </a:p>
      </cx:txPr>
    </cx:title>
    <cx:plotArea>
      <cx:plotAreaRegion>
        <cx:series layoutId="waterfall" uniqueId="{67B26F54-115E-4B44-B082-2C1EFC74CF60}" formatIdx="0">
          <cx:tx>
            <cx:txData>
              <cx:f>_xlchart.v1.8</cx:f>
              <cx:v>Base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00F3EFF7-117F-4E31-A6B3-DFA34BA71554}" formatIdx="1">
          <cx:tx>
            <cx:txData>
              <cx:f>_xlchart.v1.10</cx:f>
              <cx:v>Fall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B1A34B82-AA82-4296-A2FC-5473FCAD59DA}" formatIdx="2">
          <cx:tx>
            <cx:txData>
              <cx:f>_xlchart.v1.12</cx:f>
              <cx:v>Rise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 Metres per Month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18F1D900-84F6-44BA-B342-44BC09B0A89F}" formatIdx="0">
          <cx:tx>
            <cx:txData>
              <cx:f>_xlchart.v1.1</cx:f>
              <cx:v>Base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0CD8EEB-CF79-446A-A80A-9B2A463CFC34}" formatIdx="1">
          <cx:tx>
            <cx:txData>
              <cx:f>_xlchart.v1.3</cx:f>
              <cx:v>Fall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D84506F0-0663-4489-8262-2317EE7AAE79}" formatIdx="2">
          <cx:tx>
            <cx:txData>
              <cx:f>_xlchart.v1.5</cx:f>
              <cx:v>Rise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>
      <cx:tx>
        <cx:txData>
          <cx:v>Tonnes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Tonnes Per Month</a:t>
          </a:r>
        </a:p>
      </cx:txPr>
    </cx:title>
    <cx:plotArea>
      <cx:plotAreaRegion>
        <cx:series layoutId="waterfall" uniqueId="{67B26F54-115E-4B44-B082-2C1EFC74CF60}" formatIdx="0">
          <cx:tx>
            <cx:txData>
              <cx:f>_xlchart.v1.15</cx:f>
              <cx:v>Base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00F3EFF7-117F-4E31-A6B3-DFA34BA71554}" formatIdx="1">
          <cx:tx>
            <cx:txData>
              <cx:f>_xlchart.v1.17</cx:f>
              <cx:v>Fall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B1A34B82-AA82-4296-A2FC-5473FCAD59DA}" formatIdx="2">
          <cx:tx>
            <cx:txData>
              <cx:f>_xlchart.v1.19</cx:f>
              <cx:v>Rise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 Metres per Month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18F1D900-84F6-44BA-B342-44BC09B0A89F}" formatIdx="0">
          <cx:tx>
            <cx:txData>
              <cx:f>_xlchart.v1.22</cx:f>
              <cx:v>Base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0CD8EEB-CF79-446A-A80A-9B2A463CFC34}" formatIdx="1">
          <cx:tx>
            <cx:txData>
              <cx:f>_xlchart.v1.24</cx:f>
              <cx:v>Fall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D84506F0-0663-4489-8262-2317EE7AAE79}" formatIdx="2">
          <cx:tx>
            <cx:txData>
              <cx:f>_xlchart.v1.26</cx:f>
              <cx:v>Rise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319768</xdr:colOff>
      <xdr:row>18</xdr:row>
      <xdr:rowOff>54429</xdr:rowOff>
    </xdr:from>
    <xdr:to>
      <xdr:col>7</xdr:col>
      <xdr:colOff>81642</xdr:colOff>
      <xdr:row>33</xdr:row>
      <xdr:rowOff>38781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440CF5-D774-4AFF-A8BF-0A8039566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768" y="3361509"/>
              <a:ext cx="5233034" cy="2735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517073</xdr:colOff>
      <xdr:row>18</xdr:row>
      <xdr:rowOff>54428</xdr:rowOff>
    </xdr:from>
    <xdr:to>
      <xdr:col>15</xdr:col>
      <xdr:colOff>278947</xdr:colOff>
      <xdr:row>34</xdr:row>
      <xdr:rowOff>75520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B2BF3F-1215-41F4-B0A1-6CB701413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8233" y="3361508"/>
              <a:ext cx="5431154" cy="2954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39</xdr:row>
      <xdr:rowOff>76200</xdr:rowOff>
    </xdr:from>
    <xdr:to>
      <xdr:col>8</xdr:col>
      <xdr:colOff>523876</xdr:colOff>
      <xdr:row>52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27D2A8-6020-43DF-9D85-CB195F3F3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7574280"/>
              <a:ext cx="8307706" cy="2482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1023937</xdr:colOff>
      <xdr:row>38</xdr:row>
      <xdr:rowOff>176212</xdr:rowOff>
    </xdr:from>
    <xdr:to>
      <xdr:col>17</xdr:col>
      <xdr:colOff>419100</xdr:colOff>
      <xdr:row>55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65D55E-2005-42A3-A780-D9FB707E8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4917" y="7491412"/>
              <a:ext cx="6969443" cy="2932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4C3-38D7-4F9E-828E-E324173E551D}">
  <dimension ref="A1:AD37"/>
  <sheetViews>
    <sheetView tabSelected="1" topLeftCell="B1" zoomScale="140" zoomScaleNormal="140" workbookViewId="0">
      <selection activeCell="J10" sqref="J10"/>
    </sheetView>
  </sheetViews>
  <sheetFormatPr defaultRowHeight="14.4" x14ac:dyDescent="0.3"/>
  <cols>
    <col min="2" max="2" width="15.6640625" customWidth="1"/>
    <col min="3" max="3" width="11.109375" customWidth="1"/>
    <col min="4" max="4" width="9.6640625" customWidth="1"/>
    <col min="5" max="5" width="11.88671875" customWidth="1"/>
    <col min="6" max="6" width="11" customWidth="1"/>
    <col min="7" max="7" width="11.5546875" bestFit="1" customWidth="1"/>
    <col min="8" max="8" width="11.109375" customWidth="1"/>
    <col min="9" max="9" width="11.5546875" customWidth="1"/>
    <col min="10" max="10" width="13.88671875" customWidth="1"/>
    <col min="11" max="11" width="7.109375" customWidth="1"/>
    <col min="12" max="12" width="11.33203125" bestFit="1" customWidth="1"/>
    <col min="13" max="13" width="10.88671875" customWidth="1"/>
    <col min="14" max="14" width="4.33203125" customWidth="1"/>
    <col min="15" max="15" width="12.44140625" bestFit="1" customWidth="1"/>
    <col min="16" max="16" width="10.6640625" customWidth="1"/>
    <col min="17" max="17" width="10.109375" bestFit="1" customWidth="1"/>
    <col min="18" max="18" width="11.6640625" customWidth="1"/>
    <col min="19" max="19" width="10" customWidth="1"/>
    <col min="22" max="23" width="11.88671875" customWidth="1"/>
    <col min="24" max="24" width="11.109375" customWidth="1"/>
    <col min="25" max="25" width="15.33203125" customWidth="1"/>
    <col min="27" max="28" width="11.88671875" customWidth="1"/>
    <col min="29" max="29" width="11.109375" customWidth="1"/>
    <col min="30" max="30" width="10.5546875" bestFit="1" customWidth="1"/>
  </cols>
  <sheetData>
    <row r="1" spans="1:30" ht="15.6" x14ac:dyDescent="0.3">
      <c r="A1" s="1"/>
      <c r="B1" s="81" t="s">
        <v>111</v>
      </c>
      <c r="C1" s="81"/>
      <c r="D1" s="81"/>
      <c r="E1" s="1"/>
      <c r="F1" s="4" t="s">
        <v>116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 x14ac:dyDescent="0.3">
      <c r="A2" s="1"/>
      <c r="B2" s="27" t="s">
        <v>118</v>
      </c>
      <c r="C2" s="28"/>
      <c r="D2" s="29"/>
      <c r="E2" s="1"/>
      <c r="F2" s="5" t="s">
        <v>17</v>
      </c>
      <c r="H2" s="1"/>
      <c r="I2" s="1"/>
      <c r="J2" s="1"/>
      <c r="K2" s="6"/>
      <c r="L2" s="14">
        <v>124000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3">
      <c r="A3" s="1"/>
      <c r="B3" s="3" t="s">
        <v>0</v>
      </c>
      <c r="C3" s="3" t="s">
        <v>1</v>
      </c>
      <c r="D3" s="74">
        <v>7.87</v>
      </c>
      <c r="E3" s="1"/>
      <c r="F3" s="1" t="s">
        <v>117</v>
      </c>
      <c r="G3" s="1"/>
      <c r="H3" s="1"/>
      <c r="I3" s="1"/>
      <c r="J3" s="1"/>
      <c r="K3" s="6"/>
      <c r="L3" s="14">
        <f>L2/13.2</f>
        <v>9393.939393939394</v>
      </c>
      <c r="M3" s="1">
        <v>11000</v>
      </c>
      <c r="N3" s="1"/>
      <c r="O3" s="1"/>
      <c r="P3" s="1"/>
      <c r="Q3" s="1"/>
      <c r="R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0" x14ac:dyDescent="0.3">
      <c r="A4" s="1"/>
      <c r="B4" s="3" t="s">
        <v>2</v>
      </c>
      <c r="C4" s="3" t="s">
        <v>3</v>
      </c>
      <c r="D4" s="75">
        <v>5.5</v>
      </c>
      <c r="E4" s="1"/>
      <c r="F4" s="1" t="s">
        <v>127</v>
      </c>
      <c r="G4" s="1"/>
      <c r="H4" s="1"/>
      <c r="I4" s="1"/>
      <c r="J4" s="1"/>
      <c r="K4" s="6"/>
      <c r="L4" s="14">
        <f>L3/9</f>
        <v>1043.7710437710439</v>
      </c>
      <c r="M4" s="1">
        <f>M3*9</f>
        <v>99000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s="1"/>
      <c r="B5" s="3" t="s">
        <v>4</v>
      </c>
      <c r="C5" s="3" t="s">
        <v>3</v>
      </c>
      <c r="D5" s="75">
        <v>6.1</v>
      </c>
      <c r="E5" s="1"/>
      <c r="F5" s="1" t="s">
        <v>18</v>
      </c>
      <c r="G5" s="1"/>
      <c r="H5" s="1"/>
      <c r="I5" s="1">
        <v>8800000</v>
      </c>
      <c r="J5" s="1"/>
      <c r="K5" s="6"/>
      <c r="L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 x14ac:dyDescent="0.3">
      <c r="A6" s="1"/>
      <c r="B6" s="3" t="s">
        <v>5</v>
      </c>
      <c r="C6" s="3" t="s">
        <v>3</v>
      </c>
      <c r="D6" s="76">
        <v>1.2</v>
      </c>
      <c r="E6" s="1"/>
      <c r="F6" s="1" t="s">
        <v>121</v>
      </c>
      <c r="G6" s="1"/>
      <c r="H6" s="1"/>
      <c r="I6" s="13">
        <f>I5/D11</f>
        <v>7948.3358171882774</v>
      </c>
      <c r="J6" s="13">
        <f>I5/9</f>
        <v>977777.77777777775</v>
      </c>
      <c r="K6" s="6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s="1"/>
      <c r="B7" s="3" t="s">
        <v>6</v>
      </c>
      <c r="C7" s="3" t="s">
        <v>3</v>
      </c>
      <c r="D7" s="76">
        <v>12</v>
      </c>
      <c r="E7" s="1"/>
      <c r="F7" s="1"/>
      <c r="G7" s="1"/>
      <c r="H7" s="1"/>
      <c r="I7" s="13">
        <f>I6/9</f>
        <v>883.14842413203087</v>
      </c>
      <c r="J7" s="13">
        <f>I10*9</f>
        <v>106425</v>
      </c>
      <c r="K7" s="6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3">
      <c r="A8" s="1"/>
      <c r="B8" s="3" t="s">
        <v>7</v>
      </c>
      <c r="C8" s="3" t="s">
        <v>8</v>
      </c>
      <c r="D8" s="76">
        <v>2.75</v>
      </c>
      <c r="E8" s="1"/>
      <c r="F8" s="1"/>
      <c r="G8" s="1"/>
      <c r="H8" s="1"/>
      <c r="I8" s="14">
        <f>I10*D10</f>
        <v>1091004.0624999998</v>
      </c>
      <c r="J8" s="1"/>
      <c r="K8" s="6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3" t="s">
        <v>7</v>
      </c>
      <c r="C9" s="3" t="s">
        <v>19</v>
      </c>
      <c r="D9" s="76">
        <v>157</v>
      </c>
      <c r="E9" s="1"/>
      <c r="F9" s="1"/>
      <c r="G9" s="1"/>
      <c r="H9" s="9" t="s">
        <v>14</v>
      </c>
      <c r="I9" s="9" t="s">
        <v>20</v>
      </c>
      <c r="J9" s="9" t="s">
        <v>15</v>
      </c>
      <c r="K9" s="9" t="s">
        <v>32</v>
      </c>
      <c r="L9" s="9" t="s">
        <v>16</v>
      </c>
      <c r="M9" s="7" t="s">
        <v>24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3">
      <c r="A10" s="1"/>
      <c r="B10" s="3" t="s">
        <v>9</v>
      </c>
      <c r="C10" s="3" t="s">
        <v>10</v>
      </c>
      <c r="D10" s="70">
        <f>D11/D7</f>
        <v>92.262499999999989</v>
      </c>
      <c r="E10" s="1"/>
      <c r="F10" s="83" t="s">
        <v>22</v>
      </c>
      <c r="G10" s="83"/>
      <c r="H10" s="70">
        <f>L10/D11</f>
        <v>787.89814814814804</v>
      </c>
      <c r="I10" s="8">
        <f>J10*K10</f>
        <v>11825</v>
      </c>
      <c r="J10" s="76">
        <v>550</v>
      </c>
      <c r="K10" s="76">
        <v>21.5</v>
      </c>
      <c r="L10" s="8">
        <f>D12</f>
        <v>872321.43472222204</v>
      </c>
      <c r="M10" s="10">
        <v>1</v>
      </c>
      <c r="N10" s="2" t="s">
        <v>23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A11" s="1"/>
      <c r="B11" s="3" t="s">
        <v>11</v>
      </c>
      <c r="C11" s="73" t="s">
        <v>12</v>
      </c>
      <c r="D11" s="70">
        <f>(D7*D4*D5)*D8</f>
        <v>1107.1499999999999</v>
      </c>
      <c r="E11" s="1"/>
      <c r="F11" s="83" t="s">
        <v>25</v>
      </c>
      <c r="G11" s="83"/>
      <c r="H11" s="70">
        <f>I11/($D$7+$D$6)</f>
        <v>832.31060606060612</v>
      </c>
      <c r="I11" s="8">
        <f>J11*K11</f>
        <v>10986.5</v>
      </c>
      <c r="J11" s="70">
        <f>D15</f>
        <v>511</v>
      </c>
      <c r="K11" s="65">
        <f>D16</f>
        <v>21.5</v>
      </c>
      <c r="L11" s="8">
        <f>H11*$D$11</f>
        <v>921492.6875</v>
      </c>
      <c r="M11" s="15">
        <f>L11/$L$10</f>
        <v>1.0563682730018389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 x14ac:dyDescent="0.3">
      <c r="A12" s="1"/>
      <c r="B12" s="84" t="s">
        <v>129</v>
      </c>
      <c r="C12" s="84"/>
      <c r="D12" s="77">
        <f>E15</f>
        <v>872321.43472222204</v>
      </c>
      <c r="E12" s="16"/>
      <c r="F12" s="83" t="s">
        <v>29</v>
      </c>
      <c r="G12" s="83"/>
      <c r="H12" s="70">
        <f>I12/($D$7+$D$6)</f>
        <v>834.00919913419909</v>
      </c>
      <c r="I12" s="8">
        <f>J12*K12</f>
        <v>11008.921428571428</v>
      </c>
      <c r="J12" s="70">
        <f>'Water Fall Info'!$B$32*'Water Fall Info'!$B$12</f>
        <v>512.04285714285709</v>
      </c>
      <c r="K12" s="65">
        <f>K11</f>
        <v>21.5</v>
      </c>
      <c r="L12" s="8">
        <f>H12*$D$11</f>
        <v>923373.28482142836</v>
      </c>
      <c r="M12" s="15">
        <f>L12/$L$10</f>
        <v>1.0585241266202097</v>
      </c>
      <c r="N12" s="1" t="s">
        <v>119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84" t="s">
        <v>112</v>
      </c>
      <c r="C13" s="84"/>
      <c r="D13" s="77">
        <v>685</v>
      </c>
      <c r="E13" s="1"/>
      <c r="F13" s="83" t="s">
        <v>30</v>
      </c>
      <c r="G13" s="83"/>
      <c r="H13" s="70">
        <f>I13/($D$7+$D$6)</f>
        <v>834.00919913419909</v>
      </c>
      <c r="I13" s="8">
        <f>J13*K13</f>
        <v>11008.921428571428</v>
      </c>
      <c r="J13" s="70">
        <f>'Water Fall Info'!$B$32*'Water Fall Info'!$B$12</f>
        <v>512.04285714285709</v>
      </c>
      <c r="K13" s="65">
        <f>(K12)</f>
        <v>21.5</v>
      </c>
      <c r="L13" s="8">
        <f>I13*$D$10</f>
        <v>1015710.6133035712</v>
      </c>
      <c r="M13" s="15">
        <f>L13/$L$10</f>
        <v>1.1643765392822307</v>
      </c>
      <c r="N13" s="80">
        <f>'Water Fall Info'!N13</f>
        <v>3.3333333333333333E-2</v>
      </c>
      <c r="O13" s="1" t="s">
        <v>125</v>
      </c>
      <c r="P13" s="1"/>
      <c r="Q13" s="1"/>
      <c r="R13" s="1"/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 ht="15" customHeight="1" x14ac:dyDescent="0.3">
      <c r="A14" s="1"/>
      <c r="B14" s="82" t="s">
        <v>114</v>
      </c>
      <c r="C14" s="82"/>
      <c r="D14" s="77">
        <v>85093</v>
      </c>
      <c r="E14" s="77">
        <f>D10*D14</f>
        <v>7850892.9124999987</v>
      </c>
      <c r="F14" s="83" t="s">
        <v>31</v>
      </c>
      <c r="G14" s="83"/>
      <c r="H14" s="70">
        <f>I14/($D$7+$D$6)</f>
        <v>874.54592532467518</v>
      </c>
      <c r="I14" s="8">
        <f>J14*K14</f>
        <v>11544.006214285711</v>
      </c>
      <c r="J14" s="70">
        <f>'Water Fall Info'!$B$32*'Water Fall Info'!$B$12</f>
        <v>512.04285714285709</v>
      </c>
      <c r="K14" s="65">
        <f>(K13*N14)+K13</f>
        <v>22.544999999999998</v>
      </c>
      <c r="L14" s="8">
        <f>I14*$D$10</f>
        <v>1065078.8733455352</v>
      </c>
      <c r="M14" s="15">
        <f>L14/$L$10</f>
        <v>1.2209706547961807</v>
      </c>
      <c r="N14" s="80">
        <f>'Water Fall Info'!I33</f>
        <v>4.8604651162790662E-2</v>
      </c>
      <c r="O14" s="1" t="s">
        <v>126</v>
      </c>
      <c r="P14" s="1"/>
      <c r="Q14" s="1"/>
      <c r="R14" s="1"/>
      <c r="S14" s="6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ht="14.25" customHeight="1" x14ac:dyDescent="0.3">
      <c r="A15" s="1"/>
      <c r="B15" s="82" t="s">
        <v>113</v>
      </c>
      <c r="C15" s="82"/>
      <c r="D15" s="77">
        <v>511</v>
      </c>
      <c r="E15" s="77">
        <f>E14/9</f>
        <v>872321.43472222204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3">
      <c r="A16" s="1"/>
      <c r="B16" s="82" t="s">
        <v>115</v>
      </c>
      <c r="C16" s="82"/>
      <c r="D16" s="78">
        <v>21.5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6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6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6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6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6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6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6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</sheetData>
  <mergeCells count="11">
    <mergeCell ref="B1:D1"/>
    <mergeCell ref="B14:C14"/>
    <mergeCell ref="B15:C15"/>
    <mergeCell ref="B16:C16"/>
    <mergeCell ref="F10:G10"/>
    <mergeCell ref="F11:G11"/>
    <mergeCell ref="F12:G12"/>
    <mergeCell ref="F13:G13"/>
    <mergeCell ref="F14:G14"/>
    <mergeCell ref="B12:C12"/>
    <mergeCell ref="B13:C13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8C81-7CC8-4AB8-BD11-FEDC6A8840EA}">
  <dimension ref="A2:R70"/>
  <sheetViews>
    <sheetView workbookViewId="0">
      <selection activeCell="B20" sqref="B20"/>
    </sheetView>
  </sheetViews>
  <sheetFormatPr defaultRowHeight="14.4" x14ac:dyDescent="0.3"/>
  <cols>
    <col min="1" max="1" width="28.33203125" style="31" bestFit="1" customWidth="1"/>
    <col min="2" max="2" width="10.6640625" style="31" bestFit="1" customWidth="1"/>
    <col min="3" max="3" width="9" style="31" bestFit="1" customWidth="1"/>
    <col min="5" max="5" width="22.109375" bestFit="1" customWidth="1"/>
    <col min="6" max="6" width="10.5546875" style="17" bestFit="1" customWidth="1"/>
    <col min="7" max="7" width="10.33203125" customWidth="1"/>
    <col min="8" max="8" width="14.44140625" customWidth="1"/>
    <col min="9" max="9" width="18.88671875" customWidth="1"/>
    <col min="13" max="13" width="22.6640625" customWidth="1"/>
    <col min="14" max="14" width="11.33203125" customWidth="1"/>
    <col min="15" max="15" width="7.6640625" bestFit="1" customWidth="1"/>
    <col min="16" max="16" width="11.6640625" customWidth="1"/>
    <col min="17" max="17" width="11.5546875" bestFit="1" customWidth="1"/>
    <col min="18" max="18" width="13.33203125" bestFit="1" customWidth="1"/>
  </cols>
  <sheetData>
    <row r="2" spans="1:16" x14ac:dyDescent="0.3">
      <c r="A2" s="44" t="s">
        <v>109</v>
      </c>
    </row>
    <row r="3" spans="1:16" x14ac:dyDescent="0.3">
      <c r="A3" s="46" t="s">
        <v>110</v>
      </c>
    </row>
    <row r="5" spans="1:16" x14ac:dyDescent="0.3">
      <c r="B5" s="86" t="s">
        <v>60</v>
      </c>
      <c r="C5" s="86"/>
      <c r="G5" t="s">
        <v>120</v>
      </c>
      <c r="H5" t="s">
        <v>128</v>
      </c>
      <c r="I5" s="85" t="s">
        <v>42</v>
      </c>
      <c r="J5" s="85"/>
      <c r="K5" s="85"/>
      <c r="M5" s="85" t="s">
        <v>53</v>
      </c>
      <c r="N5" s="85"/>
      <c r="O5" s="85"/>
    </row>
    <row r="6" spans="1:16" x14ac:dyDescent="0.3">
      <c r="B6" s="43"/>
      <c r="C6" s="43"/>
      <c r="E6" s="24" t="s">
        <v>21</v>
      </c>
      <c r="F6" s="66">
        <f>Summary!D16</f>
        <v>21.5</v>
      </c>
      <c r="G6">
        <v>21.5</v>
      </c>
      <c r="H6">
        <v>26.25</v>
      </c>
      <c r="I6" s="22" t="s">
        <v>41</v>
      </c>
      <c r="J6" t="s">
        <v>43</v>
      </c>
      <c r="K6" s="44">
        <f>Summary!D6+Summary!D7</f>
        <v>13.2</v>
      </c>
      <c r="L6" t="s">
        <v>44</v>
      </c>
      <c r="M6" t="s">
        <v>43</v>
      </c>
      <c r="N6" s="44">
        <f>Summary!D6+Summary!D7</f>
        <v>13.2</v>
      </c>
      <c r="O6" t="s">
        <v>44</v>
      </c>
    </row>
    <row r="7" spans="1:16" x14ac:dyDescent="0.3">
      <c r="B7" s="43"/>
      <c r="C7" s="43"/>
      <c r="F7" s="47">
        <f>F6/60</f>
        <v>0.35833333333333334</v>
      </c>
      <c r="G7" s="47">
        <f>G6/60</f>
        <v>0.35833333333333334</v>
      </c>
      <c r="H7" s="47">
        <f>H6/60</f>
        <v>0.4375</v>
      </c>
      <c r="I7" s="22" t="s">
        <v>50</v>
      </c>
      <c r="J7" t="s">
        <v>45</v>
      </c>
      <c r="K7" s="18">
        <f>F6/K6</f>
        <v>1.6287878787878789</v>
      </c>
      <c r="L7" t="s">
        <v>46</v>
      </c>
      <c r="M7" t="s">
        <v>45</v>
      </c>
      <c r="N7" s="18">
        <f>G6/N6</f>
        <v>1.6287878787878789</v>
      </c>
      <c r="O7" t="s">
        <v>46</v>
      </c>
    </row>
    <row r="8" spans="1:16" x14ac:dyDescent="0.3">
      <c r="B8" s="43"/>
      <c r="C8" s="43"/>
      <c r="E8" t="s">
        <v>122</v>
      </c>
      <c r="F8" s="47">
        <f>K6/F7</f>
        <v>36.837209302325576</v>
      </c>
      <c r="G8" s="47">
        <f>N6/G7</f>
        <v>36.837209302325576</v>
      </c>
      <c r="H8" s="47">
        <f>N6/H7</f>
        <v>30.171428571428571</v>
      </c>
      <c r="I8" s="22"/>
      <c r="J8" t="s">
        <v>47</v>
      </c>
      <c r="K8" s="18">
        <f>K7*F15</f>
        <v>11.401515151515152</v>
      </c>
      <c r="L8" t="s">
        <v>40</v>
      </c>
      <c r="M8" t="s">
        <v>47</v>
      </c>
      <c r="N8" s="18">
        <f>N7*G15</f>
        <v>8.1439393939393945</v>
      </c>
      <c r="O8" t="s">
        <v>40</v>
      </c>
    </row>
    <row r="9" spans="1:16" x14ac:dyDescent="0.3">
      <c r="A9" s="31" t="s">
        <v>79</v>
      </c>
      <c r="B9" s="44">
        <v>12</v>
      </c>
      <c r="C9" s="37" t="s">
        <v>80</v>
      </c>
      <c r="E9" s="24" t="s">
        <v>123</v>
      </c>
      <c r="F9" s="44">
        <v>120</v>
      </c>
      <c r="G9" s="44">
        <v>0</v>
      </c>
      <c r="H9" s="44">
        <v>0</v>
      </c>
      <c r="I9" s="22" t="s">
        <v>39</v>
      </c>
    </row>
    <row r="10" spans="1:16" x14ac:dyDescent="0.3">
      <c r="A10" s="31" t="s">
        <v>81</v>
      </c>
      <c r="B10" s="46">
        <f>365*24</f>
        <v>8760</v>
      </c>
      <c r="C10" s="37" t="s">
        <v>83</v>
      </c>
      <c r="E10" s="24" t="s">
        <v>35</v>
      </c>
      <c r="F10" s="44">
        <v>60</v>
      </c>
      <c r="G10" s="44">
        <v>60</v>
      </c>
      <c r="H10" s="44">
        <v>60</v>
      </c>
      <c r="I10" s="22" t="s">
        <v>39</v>
      </c>
    </row>
    <row r="11" spans="1:16" x14ac:dyDescent="0.3">
      <c r="A11" s="31" t="s">
        <v>82</v>
      </c>
      <c r="B11" s="46">
        <f>B10/12</f>
        <v>730</v>
      </c>
      <c r="C11" s="37" t="s">
        <v>13</v>
      </c>
      <c r="E11" s="24" t="s">
        <v>36</v>
      </c>
      <c r="F11" s="44">
        <v>120</v>
      </c>
      <c r="G11" s="44">
        <v>120</v>
      </c>
      <c r="H11" s="44">
        <v>120</v>
      </c>
      <c r="I11" s="22" t="s">
        <v>39</v>
      </c>
      <c r="M11" t="s">
        <v>48</v>
      </c>
      <c r="N11" s="18">
        <f>F16-G16</f>
        <v>2</v>
      </c>
      <c r="O11" t="s">
        <v>49</v>
      </c>
    </row>
    <row r="12" spans="1:16" x14ac:dyDescent="0.3">
      <c r="A12" s="45" t="s">
        <v>84</v>
      </c>
      <c r="B12" s="47">
        <f>B11/B9</f>
        <v>60.833333333333336</v>
      </c>
      <c r="C12" s="37" t="s">
        <v>13</v>
      </c>
      <c r="E12" s="24" t="s">
        <v>37</v>
      </c>
      <c r="F12" s="44">
        <v>60</v>
      </c>
      <c r="G12" s="44">
        <v>60</v>
      </c>
      <c r="H12" s="44">
        <v>60</v>
      </c>
      <c r="I12" s="22" t="s">
        <v>39</v>
      </c>
      <c r="M12" t="s">
        <v>51</v>
      </c>
      <c r="N12" s="18">
        <f>N11*F7</f>
        <v>0.71666666666666667</v>
      </c>
      <c r="O12" t="s">
        <v>41</v>
      </c>
    </row>
    <row r="13" spans="1:16" x14ac:dyDescent="0.3">
      <c r="E13" s="24" t="s">
        <v>38</v>
      </c>
      <c r="F13" s="44">
        <v>60</v>
      </c>
      <c r="G13" s="44">
        <v>60</v>
      </c>
      <c r="H13" s="44">
        <v>60</v>
      </c>
      <c r="I13" s="22" t="s">
        <v>39</v>
      </c>
      <c r="M13" t="s">
        <v>92</v>
      </c>
      <c r="N13" s="19">
        <f>N12/F6</f>
        <v>3.3333333333333333E-2</v>
      </c>
      <c r="O13" t="s">
        <v>52</v>
      </c>
      <c r="P13" t="s">
        <v>91</v>
      </c>
    </row>
    <row r="14" spans="1:16" x14ac:dyDescent="0.3">
      <c r="A14" s="32" t="s">
        <v>61</v>
      </c>
      <c r="B14" s="37" t="s">
        <v>62</v>
      </c>
      <c r="C14" s="37" t="s">
        <v>63</v>
      </c>
      <c r="E14" s="25" t="s">
        <v>124</v>
      </c>
      <c r="F14" s="26">
        <f>SUM(F9:F13)</f>
        <v>420</v>
      </c>
      <c r="G14" s="26">
        <f>SUM(G9:G13)</f>
        <v>300</v>
      </c>
      <c r="H14" s="26">
        <f>SUM(H9:H13)</f>
        <v>300</v>
      </c>
      <c r="I14" s="23" t="s">
        <v>39</v>
      </c>
    </row>
    <row r="15" spans="1:16" x14ac:dyDescent="0.3">
      <c r="A15" s="33" t="s">
        <v>77</v>
      </c>
      <c r="B15" s="87">
        <v>0.88</v>
      </c>
      <c r="C15" s="87"/>
      <c r="F15" s="26">
        <f>F14/60</f>
        <v>7</v>
      </c>
      <c r="G15" s="26">
        <f>G14/60</f>
        <v>5</v>
      </c>
      <c r="H15" s="26">
        <f>H14/60</f>
        <v>5</v>
      </c>
      <c r="I15" s="23" t="s">
        <v>40</v>
      </c>
      <c r="M15" t="s">
        <v>48</v>
      </c>
      <c r="N15" s="18">
        <f>G16-H16</f>
        <v>6.665780730897005</v>
      </c>
      <c r="O15" t="s">
        <v>49</v>
      </c>
    </row>
    <row r="16" spans="1:16" x14ac:dyDescent="0.3">
      <c r="A16" s="33" t="s">
        <v>64</v>
      </c>
      <c r="B16" s="38">
        <v>12</v>
      </c>
      <c r="C16" s="38">
        <v>12</v>
      </c>
      <c r="F16" s="79">
        <f>F15+F8</f>
        <v>43.837209302325576</v>
      </c>
      <c r="G16" s="79">
        <f>G15+G8</f>
        <v>41.837209302325576</v>
      </c>
      <c r="H16" s="79">
        <f>H15+H8</f>
        <v>35.171428571428571</v>
      </c>
      <c r="M16" t="s">
        <v>51</v>
      </c>
      <c r="N16" s="18">
        <f>N15*H7</f>
        <v>2.9162790697674397</v>
      </c>
      <c r="O16" t="s">
        <v>41</v>
      </c>
    </row>
    <row r="17" spans="1:18" x14ac:dyDescent="0.3">
      <c r="A17" s="34" t="s">
        <v>78</v>
      </c>
      <c r="B17" s="39">
        <f>(B16*60)-((B16*60)*B15)</f>
        <v>86.399999999999977</v>
      </c>
      <c r="C17" s="39">
        <f>(C16*60)-((C16*60)*B15)</f>
        <v>86.399999999999977</v>
      </c>
      <c r="M17" t="s">
        <v>92</v>
      </c>
      <c r="N17" s="19">
        <f>N16/F10</f>
        <v>4.8604651162790662E-2</v>
      </c>
      <c r="O17" t="s">
        <v>52</v>
      </c>
    </row>
    <row r="18" spans="1:18" x14ac:dyDescent="0.3">
      <c r="A18" s="33" t="s">
        <v>65</v>
      </c>
      <c r="B18" s="40">
        <v>15</v>
      </c>
      <c r="C18" s="40">
        <v>15</v>
      </c>
      <c r="E18" s="72" t="s">
        <v>93</v>
      </c>
      <c r="F18" s="72"/>
      <c r="G18" s="72"/>
      <c r="H18" s="72"/>
      <c r="I18" s="72"/>
    </row>
    <row r="19" spans="1:18" ht="28.8" x14ac:dyDescent="0.3">
      <c r="A19" s="34" t="s">
        <v>66</v>
      </c>
      <c r="B19" s="40">
        <v>15</v>
      </c>
      <c r="C19" s="40">
        <v>15</v>
      </c>
      <c r="E19" s="22"/>
      <c r="F19" s="48" t="s">
        <v>86</v>
      </c>
      <c r="G19" s="49" t="s">
        <v>55</v>
      </c>
      <c r="H19" s="50" t="s">
        <v>58</v>
      </c>
      <c r="I19" s="49" t="s">
        <v>85</v>
      </c>
      <c r="M19" t="s">
        <v>103</v>
      </c>
      <c r="N19" t="s">
        <v>87</v>
      </c>
      <c r="O19" t="s">
        <v>100</v>
      </c>
      <c r="P19" t="s">
        <v>101</v>
      </c>
      <c r="Q19" s="59"/>
    </row>
    <row r="20" spans="1:18" x14ac:dyDescent="0.3">
      <c r="A20" s="33" t="s">
        <v>67</v>
      </c>
      <c r="B20" s="40">
        <v>15</v>
      </c>
      <c r="C20" s="40">
        <v>15</v>
      </c>
      <c r="E20" s="22" t="s">
        <v>57</v>
      </c>
      <c r="F20" s="26">
        <f>F21*F6</f>
        <v>180.69901315789477</v>
      </c>
      <c r="G20" s="21"/>
      <c r="H20" s="21"/>
      <c r="I20" s="21"/>
      <c r="M20" t="s">
        <v>87</v>
      </c>
      <c r="N20" s="71">
        <f>F20*B12</f>
        <v>10992.523300438599</v>
      </c>
      <c r="O20" s="67"/>
      <c r="P20" s="71">
        <f>N20-0</f>
        <v>10992.523300438599</v>
      </c>
      <c r="Q20" s="60"/>
    </row>
    <row r="21" spans="1:18" x14ac:dyDescent="0.3">
      <c r="A21" s="33" t="s">
        <v>68</v>
      </c>
      <c r="B21" s="40">
        <v>15</v>
      </c>
      <c r="C21" s="40">
        <v>15</v>
      </c>
      <c r="E21" s="22" t="s">
        <v>56</v>
      </c>
      <c r="F21" s="52">
        <f>Summary!D15/60.8</f>
        <v>8.4046052631578956</v>
      </c>
      <c r="G21" s="51">
        <f>B31/2</f>
        <v>8.4171428571428564</v>
      </c>
      <c r="H21" s="26">
        <f>(G21-F21)*F6</f>
        <v>0.26955827067665705</v>
      </c>
      <c r="I21" s="53">
        <f>F22/G22</f>
        <v>7.7294583808326882</v>
      </c>
      <c r="M21" t="s">
        <v>88</v>
      </c>
      <c r="N21" s="71">
        <f>G22*B12</f>
        <v>11008.921428571428</v>
      </c>
      <c r="O21" s="67"/>
      <c r="P21" s="71">
        <f>N21-N20</f>
        <v>16.398128132828788</v>
      </c>
      <c r="Q21" s="59"/>
    </row>
    <row r="22" spans="1:18" x14ac:dyDescent="0.3">
      <c r="A22" s="35" t="s">
        <v>69</v>
      </c>
      <c r="B22" s="40">
        <v>15</v>
      </c>
      <c r="C22" s="40">
        <v>15</v>
      </c>
      <c r="E22" s="22" t="s">
        <v>59</v>
      </c>
      <c r="F22" s="26">
        <f>Summary!D14/'Water Fall Info'!B12</f>
        <v>1398.7890410958903</v>
      </c>
      <c r="G22" s="51">
        <f>F6*G21</f>
        <v>180.96857142857141</v>
      </c>
      <c r="H22" s="26"/>
      <c r="I22" s="54"/>
      <c r="M22" t="s">
        <v>98</v>
      </c>
      <c r="N22" s="71">
        <f>G23*B12</f>
        <v>11375.885476190475</v>
      </c>
      <c r="O22" s="67"/>
      <c r="P22" s="71">
        <f t="shared" ref="P22:P23" si="0">N22-N21</f>
        <v>366.96404761904705</v>
      </c>
      <c r="Q22" s="59"/>
    </row>
    <row r="23" spans="1:18" x14ac:dyDescent="0.3">
      <c r="A23" s="35" t="s">
        <v>70</v>
      </c>
      <c r="B23" s="40">
        <v>30</v>
      </c>
      <c r="C23" s="40">
        <v>30</v>
      </c>
      <c r="E23" s="22" t="s">
        <v>89</v>
      </c>
      <c r="F23" s="20"/>
      <c r="G23" s="26">
        <f>G22+H23</f>
        <v>187.00085714285711</v>
      </c>
      <c r="H23" s="68">
        <f>G22*N13</f>
        <v>6.0322857142857131</v>
      </c>
      <c r="I23" s="55">
        <f>H23/G22</f>
        <v>3.3333333333333333E-2</v>
      </c>
      <c r="M23" t="s">
        <v>90</v>
      </c>
      <c r="N23" s="71">
        <f>G24*B12</f>
        <v>11928.80642142857</v>
      </c>
      <c r="O23" s="67"/>
      <c r="P23" s="71">
        <f t="shared" si="0"/>
        <v>552.92094523809465</v>
      </c>
      <c r="Q23" s="59"/>
    </row>
    <row r="24" spans="1:18" x14ac:dyDescent="0.3">
      <c r="A24" s="35" t="s">
        <v>71</v>
      </c>
      <c r="B24" s="40">
        <v>15</v>
      </c>
      <c r="C24" s="40">
        <v>15</v>
      </c>
      <c r="E24" s="22" t="s">
        <v>90</v>
      </c>
      <c r="F24" s="20"/>
      <c r="G24" s="26">
        <f>(G23*I24)+G23</f>
        <v>196.08996857142853</v>
      </c>
      <c r="H24" s="68">
        <f>G24-G23</f>
        <v>9.0891114285714139</v>
      </c>
      <c r="I24" s="64">
        <f>N17</f>
        <v>4.8604651162790662E-2</v>
      </c>
      <c r="M24" t="s">
        <v>99</v>
      </c>
      <c r="N24" s="71">
        <f>N23</f>
        <v>11928.80642142857</v>
      </c>
      <c r="O24" s="67"/>
      <c r="P24" s="67"/>
      <c r="Q24" s="30"/>
    </row>
    <row r="25" spans="1:18" x14ac:dyDescent="0.3">
      <c r="A25" s="35" t="s">
        <v>72</v>
      </c>
      <c r="B25" s="36">
        <f>+B27*B26/7</f>
        <v>17.142857142857142</v>
      </c>
      <c r="C25" s="36">
        <f>+C27*C26/7</f>
        <v>0</v>
      </c>
      <c r="N25" s="67"/>
      <c r="O25" s="67"/>
      <c r="P25" s="67"/>
    </row>
    <row r="26" spans="1:18" x14ac:dyDescent="0.3">
      <c r="A26" s="34" t="s">
        <v>73</v>
      </c>
      <c r="B26" s="39">
        <v>60</v>
      </c>
      <c r="C26" s="39"/>
      <c r="N26" s="17"/>
      <c r="O26" s="17"/>
      <c r="P26" s="17"/>
    </row>
    <row r="27" spans="1:18" x14ac:dyDescent="0.3">
      <c r="A27" s="35" t="s">
        <v>74</v>
      </c>
      <c r="B27" s="41">
        <v>2</v>
      </c>
      <c r="C27" s="41"/>
      <c r="E27" s="72" t="s">
        <v>94</v>
      </c>
      <c r="F27" s="72"/>
      <c r="G27" s="72"/>
      <c r="H27" s="72"/>
      <c r="I27" s="72"/>
      <c r="N27" s="17"/>
      <c r="O27" s="17"/>
      <c r="P27" s="17"/>
      <c r="R27" s="60"/>
    </row>
    <row r="28" spans="1:18" ht="28.8" x14ac:dyDescent="0.3">
      <c r="A28" s="34" t="s">
        <v>54</v>
      </c>
      <c r="B28" s="42">
        <f>B16-SUM(B17:B25)/60</f>
        <v>8.274285714285714</v>
      </c>
      <c r="C28" s="42">
        <f>IF(Shift=1,0,C16-SUM(C17:C25)/60)</f>
        <v>8.56</v>
      </c>
      <c r="E28" s="22"/>
      <c r="F28" s="48" t="s">
        <v>86</v>
      </c>
      <c r="G28" s="49" t="s">
        <v>55</v>
      </c>
      <c r="H28" s="50" t="s">
        <v>95</v>
      </c>
      <c r="I28" s="49" t="s">
        <v>85</v>
      </c>
      <c r="M28" t="s">
        <v>102</v>
      </c>
      <c r="N28" s="17" t="s">
        <v>87</v>
      </c>
      <c r="O28" s="17" t="s">
        <v>100</v>
      </c>
      <c r="P28" s="17" t="s">
        <v>101</v>
      </c>
      <c r="Q28" s="59"/>
      <c r="R28" s="59"/>
    </row>
    <row r="29" spans="1:18" x14ac:dyDescent="0.3">
      <c r="A29" s="34" t="s">
        <v>75</v>
      </c>
      <c r="B29" s="42">
        <f>+B16</f>
        <v>12</v>
      </c>
      <c r="C29" s="42">
        <f>+IF(Shift=1,0,C16)</f>
        <v>12</v>
      </c>
      <c r="E29" s="22" t="s">
        <v>96</v>
      </c>
      <c r="F29" s="26">
        <f>F20*Summary!D10</f>
        <v>16671.742701480263</v>
      </c>
      <c r="G29" s="21"/>
      <c r="H29" s="21"/>
      <c r="I29" s="21"/>
      <c r="M29" t="s">
        <v>87</v>
      </c>
      <c r="N29" s="71">
        <f>N20*Summary!$D$10</f>
        <v>1014197.6810067161</v>
      </c>
      <c r="O29" s="67"/>
      <c r="P29" s="71">
        <f>N29-0</f>
        <v>1014197.6810067161</v>
      </c>
      <c r="Q29" s="60"/>
      <c r="R29" s="59"/>
    </row>
    <row r="30" spans="1:18" x14ac:dyDescent="0.3">
      <c r="E30" s="22"/>
      <c r="F30" s="52"/>
      <c r="G30" s="51"/>
      <c r="H30" s="56"/>
      <c r="I30" s="53"/>
      <c r="M30" t="s">
        <v>88</v>
      </c>
      <c r="N30" s="71">
        <f>N21*Summary!$D$10</f>
        <v>1015710.6133035712</v>
      </c>
      <c r="O30" s="67"/>
      <c r="P30" s="71">
        <f>N30-N29</f>
        <v>1512.9322968551423</v>
      </c>
      <c r="Q30" s="59"/>
      <c r="R30" s="59"/>
    </row>
    <row r="31" spans="1:18" x14ac:dyDescent="0.3">
      <c r="A31" s="34" t="s">
        <v>104</v>
      </c>
      <c r="B31" s="69">
        <f>C28+B28</f>
        <v>16.834285714285713</v>
      </c>
      <c r="C31" s="31" t="s">
        <v>76</v>
      </c>
      <c r="E31" s="22" t="s">
        <v>97</v>
      </c>
      <c r="F31" s="26">
        <f>Summary!D12/'Water Fall Info'!B12</f>
        <v>14339.530433789951</v>
      </c>
      <c r="G31" s="56">
        <f>G22*Summary!D10</f>
        <v>16696.612821428567</v>
      </c>
      <c r="H31" s="56">
        <f>G31-F29</f>
        <v>24.870119948303909</v>
      </c>
      <c r="I31" s="57">
        <f>F29/G31</f>
        <v>0.99851046914638963</v>
      </c>
      <c r="M31" t="s">
        <v>98</v>
      </c>
      <c r="N31" s="71">
        <f>N22*Summary!$D$10</f>
        <v>1049567.6337470235</v>
      </c>
      <c r="O31" s="67"/>
      <c r="P31" s="71">
        <f t="shared" ref="P31:P32" si="1">N31-N30</f>
        <v>33857.020443452289</v>
      </c>
      <c r="Q31" s="59"/>
      <c r="R31" s="59"/>
    </row>
    <row r="32" spans="1:18" x14ac:dyDescent="0.3">
      <c r="A32" s="34" t="s">
        <v>104</v>
      </c>
      <c r="B32" s="69">
        <f>B31/2</f>
        <v>8.4171428571428564</v>
      </c>
      <c r="C32" s="31" t="s">
        <v>105</v>
      </c>
      <c r="E32" s="22" t="s">
        <v>89</v>
      </c>
      <c r="F32" s="20"/>
      <c r="G32" s="56">
        <f>G23*Summary!E10</f>
        <v>0</v>
      </c>
      <c r="H32" s="56">
        <f>G32-G31</f>
        <v>-16696.612821428567</v>
      </c>
      <c r="I32" s="58">
        <f>H32/G31</f>
        <v>-1</v>
      </c>
      <c r="M32" t="s">
        <v>90</v>
      </c>
      <c r="N32" s="71">
        <f>N23*Summary!$D$10</f>
        <v>1100581.5024570532</v>
      </c>
      <c r="O32" s="67"/>
      <c r="P32" s="71">
        <f t="shared" si="1"/>
        <v>51013.868710029637</v>
      </c>
      <c r="Q32" s="59"/>
      <c r="R32" s="30"/>
    </row>
    <row r="33" spans="1:17" x14ac:dyDescent="0.3">
      <c r="A33" s="62" t="s">
        <v>106</v>
      </c>
      <c r="B33" s="69">
        <f>((B9*60)-108)/60</f>
        <v>10.199999999999999</v>
      </c>
      <c r="C33" s="31" t="s">
        <v>107</v>
      </c>
      <c r="E33" s="22" t="s">
        <v>90</v>
      </c>
      <c r="F33" s="20"/>
      <c r="G33" s="56">
        <f>G24*Summary!D10</f>
        <v>18091.750725321421</v>
      </c>
      <c r="H33" s="56">
        <f>G33-G32</f>
        <v>18091.750725321421</v>
      </c>
      <c r="I33" s="64">
        <f>I24</f>
        <v>4.8604651162790662E-2</v>
      </c>
      <c r="M33" t="s">
        <v>99</v>
      </c>
      <c r="N33" s="71">
        <f>N24*Summary!$D$10</f>
        <v>1100581.5024570532</v>
      </c>
      <c r="O33" s="67"/>
      <c r="P33" s="67"/>
      <c r="Q33" s="30"/>
    </row>
    <row r="34" spans="1:17" x14ac:dyDescent="0.3">
      <c r="A34" s="62" t="s">
        <v>108</v>
      </c>
      <c r="B34" s="63">
        <f>B32/B33</f>
        <v>0.8252100840336134</v>
      </c>
      <c r="N34" s="17"/>
      <c r="O34" s="17"/>
      <c r="P34" s="17"/>
    </row>
    <row r="35" spans="1:17" x14ac:dyDescent="0.3">
      <c r="N35" s="67"/>
    </row>
    <row r="36" spans="1:17" x14ac:dyDescent="0.3">
      <c r="D36" s="61"/>
    </row>
    <row r="43" spans="1:17" x14ac:dyDescent="0.3">
      <c r="F43"/>
    </row>
    <row r="44" spans="1:17" x14ac:dyDescent="0.3">
      <c r="F44"/>
    </row>
    <row r="45" spans="1:17" x14ac:dyDescent="0.3">
      <c r="F45"/>
    </row>
    <row r="46" spans="1:17" x14ac:dyDescent="0.3">
      <c r="F46"/>
    </row>
    <row r="47" spans="1:17" x14ac:dyDescent="0.3">
      <c r="F47"/>
    </row>
    <row r="48" spans="1:17" x14ac:dyDescent="0.3">
      <c r="F48"/>
    </row>
    <row r="65" spans="1:6" x14ac:dyDescent="0.3">
      <c r="A65" s="12" t="s">
        <v>26</v>
      </c>
      <c r="B65" s="1"/>
      <c r="C65" s="1" t="s">
        <v>28</v>
      </c>
      <c r="D65" s="1"/>
    </row>
    <row r="66" spans="1:6" x14ac:dyDescent="0.3">
      <c r="A66" s="1"/>
      <c r="B66" s="1"/>
      <c r="C66" s="11" t="s">
        <v>34</v>
      </c>
      <c r="D66" s="1"/>
    </row>
    <row r="67" spans="1:6" x14ac:dyDescent="0.3">
      <c r="A67" s="1"/>
      <c r="B67" s="1"/>
      <c r="C67" s="1" t="s">
        <v>27</v>
      </c>
      <c r="D67" s="1"/>
      <c r="E67" s="1"/>
      <c r="F67" s="1"/>
    </row>
    <row r="68" spans="1:6" x14ac:dyDescent="0.3">
      <c r="A68" s="1"/>
      <c r="B68" s="1"/>
      <c r="C68" s="1" t="s">
        <v>33</v>
      </c>
      <c r="D68" s="1"/>
      <c r="E68" s="1"/>
      <c r="F68" s="1"/>
    </row>
    <row r="69" spans="1:6" x14ac:dyDescent="0.3">
      <c r="E69" s="1"/>
      <c r="F69" s="1"/>
    </row>
    <row r="70" spans="1:6" x14ac:dyDescent="0.3">
      <c r="E70" s="1"/>
      <c r="F70" s="1"/>
    </row>
  </sheetData>
  <mergeCells count="4">
    <mergeCell ref="I5:K5"/>
    <mergeCell ref="M5:O5"/>
    <mergeCell ref="B5:C5"/>
    <mergeCell ref="B15:C15"/>
  </mergeCells>
  <conditionalFormatting sqref="C25:C27">
    <cfRule type="expression" dxfId="4" priority="8">
      <formula>$O$15=1</formula>
    </cfRule>
  </conditionalFormatting>
  <conditionalFormatting sqref="B18:B24 C19:C21">
    <cfRule type="expression" dxfId="3" priority="5">
      <formula>$O$15=1</formula>
    </cfRule>
  </conditionalFormatting>
  <conditionalFormatting sqref="B18:B24 C19:C21">
    <cfRule type="expression" dxfId="2" priority="6">
      <formula>$O$15=1</formula>
    </cfRule>
  </conditionalFormatting>
  <conditionalFormatting sqref="C18 C22:C24">
    <cfRule type="expression" dxfId="1" priority="2">
      <formula>$O$15=1</formula>
    </cfRule>
  </conditionalFormatting>
  <conditionalFormatting sqref="C18 C22:C24">
    <cfRule type="expression" dxfId="0" priority="1">
      <formula>$O$15=1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3CCA8013F15498614EFF528826B54" ma:contentTypeVersion="13" ma:contentTypeDescription="Create a new document." ma:contentTypeScope="" ma:versionID="a91674ab2ffb5a13b82b9dc442c7dea6">
  <xsd:schema xmlns:xsd="http://www.w3.org/2001/XMLSchema" xmlns:xs="http://www.w3.org/2001/XMLSchema" xmlns:p="http://schemas.microsoft.com/office/2006/metadata/properties" xmlns:ns3="589a4ccc-1179-4918-b5a3-df951319a05f" xmlns:ns4="5a2f2624-f98c-49c1-96fa-2e7f7a2b0df6" targetNamespace="http://schemas.microsoft.com/office/2006/metadata/properties" ma:root="true" ma:fieldsID="3a16099a1832cbda7f407950f0eef236" ns3:_="" ns4:_="">
    <xsd:import namespace="589a4ccc-1179-4918-b5a3-df951319a05f"/>
    <xsd:import namespace="5a2f2624-f98c-49c1-96fa-2e7f7a2b0d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4ccc-1179-4918-b5a3-df951319a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f2624-f98c-49c1-96fa-2e7f7a2b0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85043C-4ED8-4A3E-80F2-A3023AE56E51}">
  <ds:schemaRefs>
    <ds:schemaRef ds:uri="http://schemas.microsoft.com/office/2006/metadata/properties"/>
    <ds:schemaRef ds:uri="589a4ccc-1179-4918-b5a3-df951319a05f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a2f2624-f98c-49c1-96fa-2e7f7a2b0df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75507E-D178-4B48-90CB-ECAE3FB6F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53386-EC89-415A-B75F-2AFFEEE59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a4ccc-1179-4918-b5a3-df951319a05f"/>
    <ds:schemaRef ds:uri="5a2f2624-f98c-49c1-96fa-2e7f7a2b0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Water Fall Info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Osain Rafael Anaya</dc:creator>
  <cp:lastModifiedBy>Anaconda</cp:lastModifiedBy>
  <dcterms:created xsi:type="dcterms:W3CDTF">2020-08-03T22:46:27Z</dcterms:created>
  <dcterms:modified xsi:type="dcterms:W3CDTF">2020-11-10T15:13:27Z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osain_rafael.anaya@sandvik.com</vt:lpwstr>
  </property>
  <property fmtid="{D5CDD505-2E9C-101B-9397-08002B2CF9AE}" pid="5" name="MSIP_Label_e58707db-cea7-4907-92d1-cf323291762b_SetDate">
    <vt:lpwstr>2020-08-03T22:46:43.9998764Z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  <property fmtid="{D5CDD505-2E9C-101B-9397-08002B2CF9AE}" pid="10" name="ContentTypeId">
    <vt:lpwstr>0x010100B213CCA8013F15498614EFF528826B54</vt:lpwstr>
  </property>
</Properties>
</file>