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uncanet.unca.edu\users\home\jhorton\Documents\undergrad research\Stokes, Cecelia\Data and Analysis\Ordination\"/>
    </mc:Choice>
  </mc:AlternateContent>
  <bookViews>
    <workbookView xWindow="0" yWindow="0" windowWidth="28800" windowHeight="12885" activeTab="1"/>
  </bookViews>
  <sheets>
    <sheet name="all" sheetId="1" r:id="rId1"/>
    <sheet name="veg only" sheetId="2" r:id="rId2"/>
    <sheet name="Veg for CCA" sheetId="5" r:id="rId3"/>
    <sheet name="Environmental" sheetId="3" r:id="rId4"/>
    <sheet name="Metadata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5" i="3" l="1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225" i="1" l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77" i="1"/>
  <c r="D80" i="1"/>
  <c r="D79" i="1"/>
  <c r="D78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<sst xmlns="http://schemas.openxmlformats.org/spreadsheetml/2006/main" count="1351" uniqueCount="397">
  <si>
    <t>RB-1-1</t>
  </si>
  <si>
    <t>RB-1-2</t>
  </si>
  <si>
    <t>RB-1-3</t>
  </si>
  <si>
    <t>RB-1-4</t>
  </si>
  <si>
    <t>RB-1-5</t>
  </si>
  <si>
    <t>RB-1-6</t>
  </si>
  <si>
    <t>RB-1-7</t>
  </si>
  <si>
    <t>RB-1-8</t>
  </si>
  <si>
    <t>RB-1-9</t>
  </si>
  <si>
    <t>RB-1-10</t>
  </si>
  <si>
    <t>RB-1-11</t>
  </si>
  <si>
    <t>RB-1-12</t>
  </si>
  <si>
    <t>RB-1-13</t>
  </si>
  <si>
    <t>RB-1-14</t>
  </si>
  <si>
    <t>RB-1-15</t>
  </si>
  <si>
    <t>RB-1-16</t>
  </si>
  <si>
    <t>RB-1-17</t>
  </si>
  <si>
    <t>RB-1-18</t>
  </si>
  <si>
    <t>RB-1-19</t>
  </si>
  <si>
    <t>RB-1-20</t>
  </si>
  <si>
    <t>RB-1-21</t>
  </si>
  <si>
    <t>RB-1-22</t>
  </si>
  <si>
    <t>RB-1-23</t>
  </si>
  <si>
    <t>RB-2-1</t>
  </si>
  <si>
    <t>RB-2-2</t>
  </si>
  <si>
    <t>RB-2-3</t>
  </si>
  <si>
    <t>RB-2-4</t>
  </si>
  <si>
    <t>RB-2-5</t>
  </si>
  <si>
    <t>RB-2-6</t>
  </si>
  <si>
    <t>RB-2-7</t>
  </si>
  <si>
    <t>RB-2-8</t>
  </si>
  <si>
    <t>RB-2-9</t>
  </si>
  <si>
    <t>RB-2-10</t>
  </si>
  <si>
    <t>RB-2-11</t>
  </si>
  <si>
    <t>RB-2-12</t>
  </si>
  <si>
    <t>RB-2-13</t>
  </si>
  <si>
    <t>RB-2-14</t>
  </si>
  <si>
    <t>RB-2-15</t>
  </si>
  <si>
    <t>RB-2-16</t>
  </si>
  <si>
    <t>RB-2-17</t>
  </si>
  <si>
    <t>RB-2-18</t>
  </si>
  <si>
    <t>RB-2-19</t>
  </si>
  <si>
    <t>RB-2-20</t>
  </si>
  <si>
    <t>RB-3-1</t>
  </si>
  <si>
    <t>RB-3-2</t>
  </si>
  <si>
    <t>RB-3-3</t>
  </si>
  <si>
    <t>RB-3-4</t>
  </si>
  <si>
    <t>RB-3-5</t>
  </si>
  <si>
    <t>RB-3-6</t>
  </si>
  <si>
    <t>RB-3-7</t>
  </si>
  <si>
    <t>RB-3-8</t>
  </si>
  <si>
    <t>RB-3-9</t>
  </si>
  <si>
    <t>RB-3-10</t>
  </si>
  <si>
    <t>RB-3-11</t>
  </si>
  <si>
    <t>RB-3-12</t>
  </si>
  <si>
    <t>RB-3-13</t>
  </si>
  <si>
    <t>RB-3-14</t>
  </si>
  <si>
    <t>RB-3-15</t>
  </si>
  <si>
    <t>RB-3-16</t>
  </si>
  <si>
    <t>RB-3-17</t>
  </si>
  <si>
    <t>RB-3-18</t>
  </si>
  <si>
    <t>RB-3-19</t>
  </si>
  <si>
    <t>RB-3-20</t>
  </si>
  <si>
    <t>RB-3-21</t>
  </si>
  <si>
    <t>RB-3-22</t>
  </si>
  <si>
    <t>RB-3-23</t>
  </si>
  <si>
    <t>RB-3-24</t>
  </si>
  <si>
    <t>RB-3-25</t>
  </si>
  <si>
    <t>RB-4-1</t>
  </si>
  <si>
    <t>RB-4-2</t>
  </si>
  <si>
    <t>RB-4-3</t>
  </si>
  <si>
    <t>RB-4-4</t>
  </si>
  <si>
    <t>RB-4-5</t>
  </si>
  <si>
    <t>RB-4-6</t>
  </si>
  <si>
    <t>RB-4-7</t>
  </si>
  <si>
    <t>RB-4-8</t>
  </si>
  <si>
    <t>RB-4-9</t>
  </si>
  <si>
    <t>RB-4-10</t>
  </si>
  <si>
    <t>RB-4-11</t>
  </si>
  <si>
    <t>RB-4-12</t>
  </si>
  <si>
    <t>RB-4-13</t>
  </si>
  <si>
    <t>RB-4-14</t>
  </si>
  <si>
    <t>RB-4-15</t>
  </si>
  <si>
    <t>RB-4-16</t>
  </si>
  <si>
    <t>RB-4-17</t>
  </si>
  <si>
    <t>RB-4-18</t>
  </si>
  <si>
    <t>RB-4-19</t>
  </si>
  <si>
    <t>RB-4-20</t>
  </si>
  <si>
    <t>RB-4-21</t>
  </si>
  <si>
    <t>RB-4-22</t>
  </si>
  <si>
    <t>RB-4-23</t>
  </si>
  <si>
    <t>RB-4-24</t>
  </si>
  <si>
    <t>RB-4-25</t>
  </si>
  <si>
    <t>RB-4-26</t>
  </si>
  <si>
    <t>RB-4-27</t>
  </si>
  <si>
    <t>RB-4-28</t>
  </si>
  <si>
    <t>RB-4-29</t>
  </si>
  <si>
    <t>RB-4-30</t>
  </si>
  <si>
    <t>RB-4-31</t>
  </si>
  <si>
    <t>RB-4-32</t>
  </si>
  <si>
    <t>RB-5-1</t>
  </si>
  <si>
    <t>RB-5-2</t>
  </si>
  <si>
    <t>RB-5-3</t>
  </si>
  <si>
    <t>RB-5-4</t>
  </si>
  <si>
    <t>RB-5-5</t>
  </si>
  <si>
    <t>RB-5-6</t>
  </si>
  <si>
    <t>RB-5-7</t>
  </si>
  <si>
    <t>RB-5-8</t>
  </si>
  <si>
    <t>RB-5-9</t>
  </si>
  <si>
    <t>RB-5-10</t>
  </si>
  <si>
    <t>RB-5-11</t>
  </si>
  <si>
    <t>RB-5-12</t>
  </si>
  <si>
    <t>RB-5-13</t>
  </si>
  <si>
    <t>RB-5-14</t>
  </si>
  <si>
    <t>RB-5-15</t>
  </si>
  <si>
    <t>RB-5-16</t>
  </si>
  <si>
    <t>RB-5-17</t>
  </si>
  <si>
    <t>RB-5-18</t>
  </si>
  <si>
    <t>RB-5-19</t>
  </si>
  <si>
    <t>RB-5-20</t>
  </si>
  <si>
    <t>RB-5-21</t>
  </si>
  <si>
    <t>RB-5-22</t>
  </si>
  <si>
    <t>RB-5-23</t>
  </si>
  <si>
    <t>RB-5-24</t>
  </si>
  <si>
    <t>RB-5-25</t>
  </si>
  <si>
    <t>RB-5-26</t>
  </si>
  <si>
    <t>RB-6-1</t>
  </si>
  <si>
    <t>RB-6-2</t>
  </si>
  <si>
    <t>RB-6-3</t>
  </si>
  <si>
    <t>RB-6-4</t>
  </si>
  <si>
    <t>RB-6-5</t>
  </si>
  <si>
    <t>RB-6-6</t>
  </si>
  <si>
    <t>RB-6-7</t>
  </si>
  <si>
    <t>RB-6-8</t>
  </si>
  <si>
    <t>RB-6-9</t>
  </si>
  <si>
    <t>RB-6-10</t>
  </si>
  <si>
    <t>RB-6-11</t>
  </si>
  <si>
    <t>RB-6-12</t>
  </si>
  <si>
    <t>RB-6-13</t>
  </si>
  <si>
    <t>RB-6-14</t>
  </si>
  <si>
    <t>RB-6-15</t>
  </si>
  <si>
    <t>RB-6-16</t>
  </si>
  <si>
    <t>RB-6-17</t>
  </si>
  <si>
    <t>RB-6-18</t>
  </si>
  <si>
    <t>RB-6-19</t>
  </si>
  <si>
    <t>RB-6-20</t>
  </si>
  <si>
    <t>RB-6-21</t>
  </si>
  <si>
    <t>RB-6-22</t>
  </si>
  <si>
    <t>RB-7-1</t>
  </si>
  <si>
    <t>RB-7-2</t>
  </si>
  <si>
    <t>RB-7-3</t>
  </si>
  <si>
    <t>RB-7-4</t>
  </si>
  <si>
    <t>RB-7-5</t>
  </si>
  <si>
    <t>RB-7-6</t>
  </si>
  <si>
    <t>RB-7-7</t>
  </si>
  <si>
    <t>RB-7-8</t>
  </si>
  <si>
    <t>RB-7-9</t>
  </si>
  <si>
    <t>RB-7-10</t>
  </si>
  <si>
    <t>RB-7-11</t>
  </si>
  <si>
    <t>RB-7-12</t>
  </si>
  <si>
    <t>RB-7-13</t>
  </si>
  <si>
    <t>RB-7-14</t>
  </si>
  <si>
    <t>RB-7-15</t>
  </si>
  <si>
    <t>EG-8-1</t>
  </si>
  <si>
    <t>EG-8-2</t>
  </si>
  <si>
    <t>EG-8-3</t>
  </si>
  <si>
    <t>EG-8-4</t>
  </si>
  <si>
    <t>EG-8-5</t>
  </si>
  <si>
    <t>EG-8-6</t>
  </si>
  <si>
    <t>EG-8-7</t>
  </si>
  <si>
    <t>EG-8-8</t>
  </si>
  <si>
    <t>EG-8-9</t>
  </si>
  <si>
    <t>EG-8-10</t>
  </si>
  <si>
    <t>EG-8-11</t>
  </si>
  <si>
    <t>EG-8-12</t>
  </si>
  <si>
    <t>EG-8-13</t>
  </si>
  <si>
    <t>EG-8-14</t>
  </si>
  <si>
    <t>EG-8-15</t>
  </si>
  <si>
    <t>EG-8-16</t>
  </si>
  <si>
    <t>EG-8-17</t>
  </si>
  <si>
    <t>EG-8-18</t>
  </si>
  <si>
    <t>JB-9.5-1</t>
  </si>
  <si>
    <t>JB-9.5-2</t>
  </si>
  <si>
    <t>JB-9.5-3</t>
  </si>
  <si>
    <t>JB-9.5-4</t>
  </si>
  <si>
    <t>JB-9.5-5</t>
  </si>
  <si>
    <t>JB-9.5-6</t>
  </si>
  <si>
    <t>JB-9.5-7</t>
  </si>
  <si>
    <t>JB-9.5-8</t>
  </si>
  <si>
    <t>JB-9.5-9</t>
  </si>
  <si>
    <t>JB-9.5-10</t>
  </si>
  <si>
    <t>JB-9.5-11</t>
  </si>
  <si>
    <t>JB-9.5-12</t>
  </si>
  <si>
    <t>GR-10-1</t>
  </si>
  <si>
    <t>GR-10-2</t>
  </si>
  <si>
    <t>GR-10-3</t>
  </si>
  <si>
    <t>GR-10-4</t>
  </si>
  <si>
    <t>GR-10-5</t>
  </si>
  <si>
    <t>GR-10-6</t>
  </si>
  <si>
    <t>GR-10-7</t>
  </si>
  <si>
    <t>GR-10-8</t>
  </si>
  <si>
    <t>GR-11-1</t>
  </si>
  <si>
    <t>GR-11-2</t>
  </si>
  <si>
    <t>GR-11-3</t>
  </si>
  <si>
    <t>GR-11-4</t>
  </si>
  <si>
    <t>GR-11-5</t>
  </si>
  <si>
    <t>GR-11-6</t>
  </si>
  <si>
    <t>GR-11-7</t>
  </si>
  <si>
    <t>GR-11-8</t>
  </si>
  <si>
    <t>GR-11-9</t>
  </si>
  <si>
    <t>GR-11-10</t>
  </si>
  <si>
    <t>GR-11-11</t>
  </si>
  <si>
    <t>GR-11-12</t>
  </si>
  <si>
    <t>GR-11-13</t>
  </si>
  <si>
    <t>GR-11-14</t>
  </si>
  <si>
    <t>GR-11-15</t>
  </si>
  <si>
    <t>GR-11-16</t>
  </si>
  <si>
    <t>GR-11-17</t>
  </si>
  <si>
    <t>GR-11-18</t>
  </si>
  <si>
    <t>GR-11-19</t>
  </si>
  <si>
    <t>GR-11-20</t>
  </si>
  <si>
    <t>GR-11-21</t>
  </si>
  <si>
    <t>GR-11-22</t>
  </si>
  <si>
    <t>GR-11-23</t>
  </si>
  <si>
    <t>S</t>
  </si>
  <si>
    <t>6?????</t>
  </si>
  <si>
    <t>.</t>
  </si>
  <si>
    <t>OAEFL</t>
  </si>
  <si>
    <t>OABFR</t>
  </si>
  <si>
    <t>OAMLA</t>
  </si>
  <si>
    <t>OACSP</t>
  </si>
  <si>
    <t>OBEAL</t>
  </si>
  <si>
    <t>OCRPU</t>
  </si>
  <si>
    <t>OFAGR</t>
  </si>
  <si>
    <t>OPRSE</t>
  </si>
  <si>
    <t>OSOAM</t>
  </si>
  <si>
    <t>SALVI</t>
  </si>
  <si>
    <t>SRUBUS</t>
  </si>
  <si>
    <t>SVACC</t>
  </si>
  <si>
    <t>SRHCAT</t>
  </si>
  <si>
    <t>SAMLA</t>
  </si>
  <si>
    <t>SSOAM</t>
  </si>
  <si>
    <t>SFAGR</t>
  </si>
  <si>
    <t>SRHCAL</t>
  </si>
  <si>
    <t>SABFR</t>
  </si>
  <si>
    <t>GALVI</t>
  </si>
  <si>
    <t>GRUBUS</t>
  </si>
  <si>
    <t>GVACC</t>
  </si>
  <si>
    <t>GRHCAT</t>
  </si>
  <si>
    <t>GANTR</t>
  </si>
  <si>
    <t>GFERN</t>
  </si>
  <si>
    <t>GGRASS</t>
  </si>
  <si>
    <t>GSEDGE</t>
  </si>
  <si>
    <t>GROCK</t>
  </si>
  <si>
    <t>GBARE</t>
  </si>
  <si>
    <t>GMOSS</t>
  </si>
  <si>
    <t>GLICHEN</t>
  </si>
  <si>
    <t>GABFR</t>
  </si>
  <si>
    <t>GLYCO</t>
  </si>
  <si>
    <t>GSOAM</t>
  </si>
  <si>
    <t>GSMHE</t>
  </si>
  <si>
    <t>GRIRO</t>
  </si>
  <si>
    <t>GFAGR</t>
  </si>
  <si>
    <t>GRHCAL</t>
  </si>
  <si>
    <t>GSOLIDAGO</t>
  </si>
  <si>
    <t>GPOTENT</t>
  </si>
  <si>
    <t>GOCAC</t>
  </si>
  <si>
    <t>GTRCA</t>
  </si>
  <si>
    <t>GACMI</t>
  </si>
  <si>
    <t>GA2</t>
  </si>
  <si>
    <t>GPRRO</t>
  </si>
  <si>
    <t>GA3</t>
  </si>
  <si>
    <t>GRUAC</t>
  </si>
  <si>
    <t>GHOSE</t>
  </si>
  <si>
    <t>GF6</t>
  </si>
  <si>
    <t>GF8</t>
  </si>
  <si>
    <t>GF9</t>
  </si>
  <si>
    <t>GLYCI</t>
  </si>
  <si>
    <t>GAGAL</t>
  </si>
  <si>
    <t>GF4</t>
  </si>
  <si>
    <t>GLIGR</t>
  </si>
  <si>
    <t>SLOPE</t>
  </si>
  <si>
    <t>ASPECT</t>
  </si>
  <si>
    <t>DIST</t>
  </si>
  <si>
    <t>DIRECT</t>
  </si>
  <si>
    <t>ASD</t>
  </si>
  <si>
    <t>PLOT</t>
  </si>
  <si>
    <t>Q</t>
  </si>
  <si>
    <t>Plots</t>
  </si>
  <si>
    <t>Variables</t>
  </si>
  <si>
    <t>Average soil depth</t>
  </si>
  <si>
    <t>Direction</t>
  </si>
  <si>
    <t>Distance</t>
  </si>
  <si>
    <t>O</t>
  </si>
  <si>
    <t>Overstory</t>
  </si>
  <si>
    <t>G</t>
  </si>
  <si>
    <t>Ground cover</t>
  </si>
  <si>
    <t>ALVI</t>
  </si>
  <si>
    <t>AEFL</t>
  </si>
  <si>
    <t>Aesculus flava</t>
  </si>
  <si>
    <t xml:space="preserve">Yellow Buckeye </t>
  </si>
  <si>
    <t>ABFR</t>
  </si>
  <si>
    <t>Abies fraseri</t>
  </si>
  <si>
    <t>Frasir Fir</t>
  </si>
  <si>
    <t>AMLA</t>
  </si>
  <si>
    <t>Amelanchier laevis</t>
  </si>
  <si>
    <t>Serviceberry</t>
  </si>
  <si>
    <t>ACSP</t>
  </si>
  <si>
    <t>Acer spicatum</t>
  </si>
  <si>
    <t>Mountain Maple</t>
  </si>
  <si>
    <t>BEAL</t>
  </si>
  <si>
    <t xml:space="preserve">Betual alleghaniensis </t>
  </si>
  <si>
    <t>Yellow Birch</t>
  </si>
  <si>
    <t>CRPU</t>
  </si>
  <si>
    <t>Crataegus puncata</t>
  </si>
  <si>
    <t>Hawthorn (dotted)</t>
  </si>
  <si>
    <t>FAGR</t>
  </si>
  <si>
    <t>Fagus grandifolia</t>
  </si>
  <si>
    <t>American Beech</t>
  </si>
  <si>
    <t>PRSE</t>
  </si>
  <si>
    <t xml:space="preserve">Prunus serotina </t>
  </si>
  <si>
    <t>Black Cherry</t>
  </si>
  <si>
    <t>SOAM</t>
  </si>
  <si>
    <t>Sorbus americana</t>
  </si>
  <si>
    <t>Mountain Ash</t>
  </si>
  <si>
    <t xml:space="preserve">Alnus viridis </t>
  </si>
  <si>
    <t>Green Alder</t>
  </si>
  <si>
    <t xml:space="preserve">RUBUS </t>
  </si>
  <si>
    <t>VACC</t>
  </si>
  <si>
    <t>RHCAT</t>
  </si>
  <si>
    <t>Rhododendron catawbiense</t>
  </si>
  <si>
    <t>Purple Rhodo</t>
  </si>
  <si>
    <t>Shrub cover</t>
  </si>
  <si>
    <t>RHCAL</t>
  </si>
  <si>
    <t>Rhododendron calendulaceum</t>
  </si>
  <si>
    <t>Flame Azalea</t>
  </si>
  <si>
    <t>ANTR</t>
  </si>
  <si>
    <t>Angelica triquinata</t>
  </si>
  <si>
    <t>Angelica</t>
  </si>
  <si>
    <t>LYCO</t>
  </si>
  <si>
    <t>SMHE</t>
  </si>
  <si>
    <t>Smilax herbacea</t>
  </si>
  <si>
    <t>Smooth greenbrier</t>
  </si>
  <si>
    <t>RIRO</t>
  </si>
  <si>
    <t>Ribes rotundifolium</t>
  </si>
  <si>
    <t>Gooseberry</t>
  </si>
  <si>
    <t>SOLIDAGO</t>
  </si>
  <si>
    <t>Goldenrod</t>
  </si>
  <si>
    <t>POTENT</t>
  </si>
  <si>
    <t xml:space="preserve">Potentilla spp. </t>
  </si>
  <si>
    <t>Cinquefoil</t>
  </si>
  <si>
    <t>OCAC</t>
  </si>
  <si>
    <t>Oclemena acuminata</t>
  </si>
  <si>
    <t>Whorled Aster</t>
  </si>
  <si>
    <t>TRCA</t>
  </si>
  <si>
    <t xml:space="preserve">Trautvetteria caroliniensis </t>
  </si>
  <si>
    <t>False Bugbane</t>
  </si>
  <si>
    <t>ACMI</t>
  </si>
  <si>
    <t>Achillea millefolium</t>
  </si>
  <si>
    <t>Yarrow</t>
  </si>
  <si>
    <t>A2</t>
  </si>
  <si>
    <t>Aster 2</t>
  </si>
  <si>
    <t>PRRO</t>
  </si>
  <si>
    <t>Prenanthes roanensis</t>
  </si>
  <si>
    <t xml:space="preserve">Rattlesnake Root </t>
  </si>
  <si>
    <t>A3</t>
  </si>
  <si>
    <t>Aster 3</t>
  </si>
  <si>
    <t>RUAC</t>
  </si>
  <si>
    <t>Rumex acetosella</t>
  </si>
  <si>
    <t>Red Sorrel</t>
  </si>
  <si>
    <t>HOSE</t>
  </si>
  <si>
    <t>Houstonia serpyllifolia</t>
  </si>
  <si>
    <t>Bluet</t>
  </si>
  <si>
    <t>F6</t>
  </si>
  <si>
    <t>Forb 6</t>
  </si>
  <si>
    <t>F8</t>
  </si>
  <si>
    <t>Forb 8</t>
  </si>
  <si>
    <t>F9</t>
  </si>
  <si>
    <t>Forb 9</t>
  </si>
  <si>
    <t>LYCI</t>
  </si>
  <si>
    <t>Lysimachia ciliata</t>
  </si>
  <si>
    <t xml:space="preserve">Fringed Loosestrife </t>
  </si>
  <si>
    <t>AGAL</t>
  </si>
  <si>
    <t>Ageratina altissima</t>
  </si>
  <si>
    <t>White Snakeroot</t>
  </si>
  <si>
    <t>F4</t>
  </si>
  <si>
    <t>Forb 4</t>
  </si>
  <si>
    <t>LIGR</t>
  </si>
  <si>
    <t>Lilium grayi</t>
  </si>
  <si>
    <t xml:space="preserve">Gray's Lily </t>
  </si>
  <si>
    <t>Blackberry</t>
  </si>
  <si>
    <t>Blueberry</t>
  </si>
  <si>
    <t>Club moss</t>
  </si>
  <si>
    <r>
      <t>Lycopodium</t>
    </r>
    <r>
      <rPr>
        <sz val="12"/>
        <color theme="1"/>
        <rFont val="Calibri"/>
        <family val="2"/>
        <scheme val="minor"/>
      </rPr>
      <t xml:space="preserve"> spp. </t>
    </r>
  </si>
  <si>
    <r>
      <t>Rubus</t>
    </r>
    <r>
      <rPr>
        <sz val="12"/>
        <color theme="1"/>
        <rFont val="Calibri"/>
        <family val="2"/>
        <scheme val="minor"/>
      </rPr>
      <t xml:space="preserve"> spp. </t>
    </r>
  </si>
  <si>
    <r>
      <t xml:space="preserve">Solidago </t>
    </r>
    <r>
      <rPr>
        <sz val="12"/>
        <color theme="1"/>
        <rFont val="Calibri"/>
        <family val="2"/>
        <scheme val="minor"/>
      </rPr>
      <t xml:space="preserve">spp. </t>
    </r>
  </si>
  <si>
    <r>
      <t>Vaccinium</t>
    </r>
    <r>
      <rPr>
        <sz val="12"/>
        <color theme="1"/>
        <rFont val="Calibri"/>
        <family val="2"/>
        <scheme val="minor"/>
      </rPr>
      <t xml:space="preserve"> spp.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</si>
</sst>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defaultColWidth="11" defaultRowHeight="15.75" x14ac:dyDescent="0.25"/>
  <cols>
    <col min="1" max="1" width="12" style="4" customWidth="1"/>
    <col min="2" max="3" width="11" style="4"/>
    <col min="4" max="4" width="22.875" style="4" customWidth="1"/>
    <col min="5" max="5" width="17.375" style="4" customWidth="1"/>
    <col min="6" max="13" width="15.875" style="4" customWidth="1"/>
    <col min="14" max="14" width="12.375" style="4" customWidth="1"/>
    <col min="15" max="15" width="12.625" style="4" customWidth="1"/>
    <col min="16" max="16" width="16.375" style="4" customWidth="1"/>
    <col min="17" max="21" width="15.125" style="4" customWidth="1"/>
    <col min="22" max="22" width="14.375" style="4" customWidth="1"/>
    <col min="23" max="23" width="12" style="4" customWidth="1"/>
    <col min="24" max="24" width="12.125" style="4" customWidth="1"/>
    <col min="25" max="25" width="15.125" style="4" customWidth="1"/>
    <col min="26" max="26" width="18.625" style="4" customWidth="1"/>
    <col min="27" max="27" width="14.5" style="4" customWidth="1"/>
    <col min="28" max="28" width="11" style="4"/>
    <col min="29" max="29" width="11.125" style="4" customWidth="1"/>
    <col min="30" max="30" width="12" style="4" customWidth="1"/>
    <col min="31" max="33" width="11" style="4"/>
    <col min="34" max="34" width="11.875" style="4" customWidth="1"/>
    <col min="35" max="35" width="11.625" style="4" customWidth="1"/>
    <col min="36" max="58" width="16.375" style="4" customWidth="1"/>
    <col min="59" max="16384" width="11" style="4"/>
  </cols>
  <sheetData>
    <row r="1" spans="1:58" x14ac:dyDescent="0.25">
      <c r="A1" s="4">
        <v>221</v>
      </c>
      <c r="B1" s="4" t="s">
        <v>288</v>
      </c>
    </row>
    <row r="2" spans="1:58" x14ac:dyDescent="0.25">
      <c r="A2" s="4">
        <v>57</v>
      </c>
      <c r="B2" s="4" t="s">
        <v>289</v>
      </c>
    </row>
    <row r="3" spans="1:58" x14ac:dyDescent="0.25">
      <c r="B3" s="4" t="s">
        <v>287</v>
      </c>
      <c r="C3" s="4" t="s">
        <v>287</v>
      </c>
      <c r="D3" s="4" t="s">
        <v>287</v>
      </c>
      <c r="E3" s="4" t="s">
        <v>287</v>
      </c>
      <c r="F3" s="4" t="s">
        <v>287</v>
      </c>
      <c r="G3" s="4" t="s">
        <v>287</v>
      </c>
      <c r="H3" s="4" t="s">
        <v>287</v>
      </c>
      <c r="I3" s="4" t="s">
        <v>287</v>
      </c>
      <c r="J3" s="4" t="s">
        <v>287</v>
      </c>
      <c r="K3" s="4" t="s">
        <v>287</v>
      </c>
      <c r="L3" s="4" t="s">
        <v>287</v>
      </c>
      <c r="M3" s="4" t="s">
        <v>287</v>
      </c>
      <c r="N3" s="4" t="s">
        <v>287</v>
      </c>
      <c r="O3" s="4" t="s">
        <v>287</v>
      </c>
      <c r="P3" s="4" t="s">
        <v>287</v>
      </c>
      <c r="Q3" s="4" t="s">
        <v>287</v>
      </c>
      <c r="R3" s="4" t="s">
        <v>287</v>
      </c>
      <c r="S3" s="4" t="s">
        <v>287</v>
      </c>
      <c r="T3" s="4" t="s">
        <v>287</v>
      </c>
      <c r="U3" s="4" t="s">
        <v>287</v>
      </c>
      <c r="V3" s="4" t="s">
        <v>287</v>
      </c>
      <c r="W3" s="4" t="s">
        <v>287</v>
      </c>
      <c r="X3" s="4" t="s">
        <v>287</v>
      </c>
      <c r="Y3" s="4" t="s">
        <v>287</v>
      </c>
      <c r="Z3" s="4" t="s">
        <v>287</v>
      </c>
      <c r="AA3" s="4" t="s">
        <v>287</v>
      </c>
      <c r="AB3" s="4" t="s">
        <v>287</v>
      </c>
      <c r="AC3" s="4" t="s">
        <v>287</v>
      </c>
      <c r="AD3" s="4" t="s">
        <v>287</v>
      </c>
      <c r="AE3" s="4" t="s">
        <v>287</v>
      </c>
      <c r="AF3" s="4" t="s">
        <v>287</v>
      </c>
      <c r="AG3" s="4" t="s">
        <v>287</v>
      </c>
      <c r="AH3" s="4" t="s">
        <v>287</v>
      </c>
      <c r="AI3" s="4" t="s">
        <v>287</v>
      </c>
      <c r="AJ3" s="4" t="s">
        <v>287</v>
      </c>
      <c r="AK3" s="4" t="s">
        <v>287</v>
      </c>
      <c r="AL3" s="4" t="s">
        <v>287</v>
      </c>
      <c r="AM3" s="4" t="s">
        <v>287</v>
      </c>
      <c r="AN3" s="4" t="s">
        <v>287</v>
      </c>
      <c r="AO3" s="4" t="s">
        <v>287</v>
      </c>
      <c r="AP3" s="4" t="s">
        <v>287</v>
      </c>
      <c r="AQ3" s="4" t="s">
        <v>287</v>
      </c>
      <c r="AR3" s="4" t="s">
        <v>287</v>
      </c>
      <c r="AS3" s="4" t="s">
        <v>287</v>
      </c>
      <c r="AT3" s="4" t="s">
        <v>287</v>
      </c>
      <c r="AU3" s="4" t="s">
        <v>287</v>
      </c>
      <c r="AV3" s="4" t="s">
        <v>287</v>
      </c>
      <c r="AW3" s="4" t="s">
        <v>287</v>
      </c>
      <c r="AX3" s="4" t="s">
        <v>287</v>
      </c>
      <c r="AY3" s="4" t="s">
        <v>287</v>
      </c>
      <c r="AZ3" s="4" t="s">
        <v>287</v>
      </c>
      <c r="BA3" s="4" t="s">
        <v>287</v>
      </c>
      <c r="BB3" s="4" t="s">
        <v>287</v>
      </c>
      <c r="BC3" s="4" t="s">
        <v>287</v>
      </c>
      <c r="BD3" s="4" t="s">
        <v>287</v>
      </c>
      <c r="BE3" s="4" t="s">
        <v>287</v>
      </c>
      <c r="BF3" s="4" t="s">
        <v>287</v>
      </c>
    </row>
    <row r="4" spans="1:58" x14ac:dyDescent="0.25">
      <c r="A4" s="5" t="s">
        <v>286</v>
      </c>
      <c r="B4" s="5" t="s">
        <v>281</v>
      </c>
      <c r="C4" s="5" t="s">
        <v>282</v>
      </c>
      <c r="D4" s="5" t="s">
        <v>285</v>
      </c>
      <c r="E4" s="5" t="s">
        <v>227</v>
      </c>
      <c r="F4" s="5" t="s">
        <v>228</v>
      </c>
      <c r="G4" s="5" t="s">
        <v>229</v>
      </c>
      <c r="H4" s="5" t="s">
        <v>230</v>
      </c>
      <c r="I4" s="5" t="s">
        <v>231</v>
      </c>
      <c r="J4" s="5" t="s">
        <v>232</v>
      </c>
      <c r="K4" s="5" t="s">
        <v>233</v>
      </c>
      <c r="L4" s="5" t="s">
        <v>234</v>
      </c>
      <c r="M4" s="5" t="s">
        <v>235</v>
      </c>
      <c r="N4" s="5" t="s">
        <v>236</v>
      </c>
      <c r="O4" s="5" t="s">
        <v>237</v>
      </c>
      <c r="P4" s="5" t="s">
        <v>238</v>
      </c>
      <c r="Q4" s="5" t="s">
        <v>239</v>
      </c>
      <c r="R4" s="5" t="s">
        <v>240</v>
      </c>
      <c r="S4" s="5" t="s">
        <v>241</v>
      </c>
      <c r="T4" s="5" t="s">
        <v>242</v>
      </c>
      <c r="U4" s="5" t="s">
        <v>243</v>
      </c>
      <c r="V4" s="5" t="s">
        <v>244</v>
      </c>
      <c r="W4" s="5" t="s">
        <v>245</v>
      </c>
      <c r="X4" s="5" t="s">
        <v>246</v>
      </c>
      <c r="Y4" s="5" t="s">
        <v>247</v>
      </c>
      <c r="Z4" s="5" t="s">
        <v>248</v>
      </c>
      <c r="AA4" s="5" t="s">
        <v>249</v>
      </c>
      <c r="AB4" s="5" t="s">
        <v>250</v>
      </c>
      <c r="AC4" s="5" t="s">
        <v>251</v>
      </c>
      <c r="AD4" s="5" t="s">
        <v>252</v>
      </c>
      <c r="AE4" s="5" t="s">
        <v>253</v>
      </c>
      <c r="AF4" s="5" t="s">
        <v>254</v>
      </c>
      <c r="AG4" s="5" t="s">
        <v>255</v>
      </c>
      <c r="AH4" s="5" t="s">
        <v>256</v>
      </c>
      <c r="AI4" s="5" t="s">
        <v>257</v>
      </c>
      <c r="AJ4" s="5" t="s">
        <v>258</v>
      </c>
      <c r="AK4" s="5" t="s">
        <v>259</v>
      </c>
      <c r="AL4" s="5" t="s">
        <v>260</v>
      </c>
      <c r="AM4" s="5" t="s">
        <v>261</v>
      </c>
      <c r="AN4" s="5" t="s">
        <v>262</v>
      </c>
      <c r="AO4" s="5" t="s">
        <v>263</v>
      </c>
      <c r="AP4" s="5" t="s">
        <v>264</v>
      </c>
      <c r="AQ4" s="5" t="s">
        <v>265</v>
      </c>
      <c r="AR4" s="5" t="s">
        <v>266</v>
      </c>
      <c r="AS4" s="5" t="s">
        <v>267</v>
      </c>
      <c r="AT4" s="5" t="s">
        <v>268</v>
      </c>
      <c r="AU4" s="5" t="s">
        <v>269</v>
      </c>
      <c r="AV4" s="5" t="s">
        <v>270</v>
      </c>
      <c r="AW4" s="5" t="s">
        <v>271</v>
      </c>
      <c r="AX4" s="5" t="s">
        <v>272</v>
      </c>
      <c r="AY4" s="5" t="s">
        <v>273</v>
      </c>
      <c r="AZ4" s="5" t="s">
        <v>274</v>
      </c>
      <c r="BA4" s="5" t="s">
        <v>275</v>
      </c>
      <c r="BB4" s="5" t="s">
        <v>276</v>
      </c>
      <c r="BC4" s="5" t="s">
        <v>277</v>
      </c>
      <c r="BD4" s="5" t="s">
        <v>278</v>
      </c>
      <c r="BE4" s="5" t="s">
        <v>279</v>
      </c>
      <c r="BF4" s="5" t="s">
        <v>280</v>
      </c>
    </row>
    <row r="5" spans="1:58" x14ac:dyDescent="0.25">
      <c r="A5" s="4" t="s">
        <v>0</v>
      </c>
      <c r="B5" s="4">
        <v>11</v>
      </c>
      <c r="C5" s="4">
        <v>270</v>
      </c>
      <c r="D5" s="4">
        <v>10.62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31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3</v>
      </c>
      <c r="Z5" s="4">
        <v>0</v>
      </c>
      <c r="AA5" s="4">
        <v>0</v>
      </c>
      <c r="AB5" s="4">
        <v>0</v>
      </c>
      <c r="AC5" s="4">
        <v>15</v>
      </c>
      <c r="AD5" s="4">
        <v>0</v>
      </c>
      <c r="AE5" s="4">
        <v>0</v>
      </c>
      <c r="AF5" s="4">
        <v>21</v>
      </c>
      <c r="AG5" s="4">
        <v>39</v>
      </c>
      <c r="AH5" s="4">
        <v>1</v>
      </c>
      <c r="AI5" s="4">
        <v>16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</row>
    <row r="6" spans="1:58" x14ac:dyDescent="0.25">
      <c r="A6" s="4" t="s">
        <v>1</v>
      </c>
      <c r="B6" s="4">
        <v>11</v>
      </c>
      <c r="C6" s="4">
        <v>272</v>
      </c>
      <c r="D6" s="4">
        <v>4.4000000000000004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100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100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</row>
    <row r="7" spans="1:58" x14ac:dyDescent="0.25">
      <c r="A7" s="4" t="s">
        <v>2</v>
      </c>
      <c r="B7" s="4">
        <v>12</v>
      </c>
      <c r="C7" s="4">
        <v>280</v>
      </c>
      <c r="D7" s="4">
        <v>17.7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48</v>
      </c>
      <c r="AA7" s="4">
        <v>0</v>
      </c>
      <c r="AB7" s="4">
        <v>0</v>
      </c>
      <c r="AC7" s="4">
        <v>2</v>
      </c>
      <c r="AD7" s="4">
        <v>0</v>
      </c>
      <c r="AE7" s="4">
        <v>0</v>
      </c>
      <c r="AF7" s="4">
        <v>0</v>
      </c>
      <c r="AG7" s="4">
        <v>22</v>
      </c>
      <c r="AH7" s="4">
        <v>0</v>
      </c>
      <c r="AI7" s="4">
        <v>0</v>
      </c>
      <c r="AJ7" s="4">
        <v>28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</row>
    <row r="8" spans="1:58" x14ac:dyDescent="0.25">
      <c r="A8" s="4" t="s">
        <v>3</v>
      </c>
      <c r="B8" s="4">
        <v>15</v>
      </c>
      <c r="C8" s="4">
        <v>246</v>
      </c>
      <c r="D8" s="4">
        <v>13.5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100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100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</row>
    <row r="9" spans="1:58" x14ac:dyDescent="0.25">
      <c r="A9" s="4" t="s">
        <v>4</v>
      </c>
      <c r="B9" s="4">
        <v>16</v>
      </c>
      <c r="C9" s="4">
        <v>252</v>
      </c>
      <c r="D9" s="4">
        <v>9.15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21</v>
      </c>
      <c r="AA9" s="4">
        <v>0</v>
      </c>
      <c r="AB9" s="4">
        <v>0</v>
      </c>
      <c r="AC9" s="4">
        <v>3</v>
      </c>
      <c r="AD9" s="4">
        <v>0</v>
      </c>
      <c r="AE9" s="4">
        <v>0</v>
      </c>
      <c r="AF9" s="4">
        <v>0</v>
      </c>
      <c r="AG9" s="4">
        <v>37</v>
      </c>
      <c r="AH9" s="4">
        <v>39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</row>
    <row r="10" spans="1:58" x14ac:dyDescent="0.25">
      <c r="A10" s="4" t="s">
        <v>5</v>
      </c>
      <c r="B10" s="4">
        <v>14</v>
      </c>
      <c r="C10" s="4">
        <v>262</v>
      </c>
      <c r="D10" s="4">
        <v>7.07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35</v>
      </c>
      <c r="AA10" s="4">
        <v>0</v>
      </c>
      <c r="AB10" s="4">
        <v>0</v>
      </c>
      <c r="AC10" s="4">
        <v>4</v>
      </c>
      <c r="AD10" s="4">
        <v>0</v>
      </c>
      <c r="AE10" s="4">
        <v>0</v>
      </c>
      <c r="AF10" s="4">
        <v>37</v>
      </c>
      <c r="AG10" s="4">
        <v>9</v>
      </c>
      <c r="AH10" s="4">
        <v>11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3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</row>
    <row r="11" spans="1:58" x14ac:dyDescent="0.25">
      <c r="A11" s="4" t="s">
        <v>6</v>
      </c>
      <c r="B11" s="4">
        <v>14</v>
      </c>
      <c r="C11" s="4">
        <v>270</v>
      </c>
      <c r="D11" s="4">
        <v>43.1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98</v>
      </c>
      <c r="AA11" s="4">
        <v>2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</row>
    <row r="12" spans="1:58" x14ac:dyDescent="0.25">
      <c r="A12" s="4" t="s">
        <v>7</v>
      </c>
      <c r="B12" s="4">
        <v>18</v>
      </c>
      <c r="C12" s="4">
        <v>242</v>
      </c>
      <c r="D12" s="4">
        <v>6.67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60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12</v>
      </c>
      <c r="AG12" s="4">
        <v>12</v>
      </c>
      <c r="AH12" s="4">
        <v>7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9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</row>
    <row r="13" spans="1:58" x14ac:dyDescent="0.25">
      <c r="A13" s="4" t="s">
        <v>8</v>
      </c>
      <c r="B13" s="4">
        <v>10</v>
      </c>
      <c r="C13" s="4">
        <v>270</v>
      </c>
      <c r="D13" s="4">
        <v>5.2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36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36</v>
      </c>
      <c r="AG13" s="4">
        <v>7</v>
      </c>
      <c r="AH13" s="4">
        <v>2</v>
      </c>
      <c r="AI13" s="4">
        <v>0</v>
      </c>
      <c r="AJ13" s="4">
        <v>12</v>
      </c>
      <c r="AK13" s="4">
        <v>1</v>
      </c>
      <c r="AL13" s="4">
        <v>0</v>
      </c>
      <c r="AM13" s="4">
        <v>0</v>
      </c>
      <c r="AN13" s="4">
        <v>0</v>
      </c>
      <c r="AO13" s="4">
        <v>0</v>
      </c>
      <c r="AP13" s="4">
        <v>5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</row>
    <row r="14" spans="1:58" x14ac:dyDescent="0.25">
      <c r="A14" s="4" t="s">
        <v>9</v>
      </c>
      <c r="B14" s="4">
        <v>14</v>
      </c>
      <c r="C14" s="4">
        <v>226</v>
      </c>
      <c r="D14" s="4">
        <v>10.4</v>
      </c>
      <c r="E14" s="4">
        <v>0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30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72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14</v>
      </c>
      <c r="AG14" s="4">
        <v>10</v>
      </c>
      <c r="AH14" s="4">
        <v>0</v>
      </c>
      <c r="AI14" s="4">
        <v>4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</row>
    <row r="15" spans="1:58" x14ac:dyDescent="0.25">
      <c r="A15" s="4" t="s">
        <v>10</v>
      </c>
      <c r="B15" s="4">
        <v>15.5</v>
      </c>
      <c r="C15" s="4">
        <v>235</v>
      </c>
      <c r="D15" s="4">
        <v>15.25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100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100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</row>
    <row r="16" spans="1:58" x14ac:dyDescent="0.25">
      <c r="A16" s="4" t="s">
        <v>11</v>
      </c>
      <c r="B16" s="4">
        <v>17</v>
      </c>
      <c r="C16" s="4">
        <v>244</v>
      </c>
      <c r="D16" s="4">
        <v>19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8</v>
      </c>
      <c r="AD16" s="4">
        <v>0</v>
      </c>
      <c r="AE16" s="4">
        <v>0</v>
      </c>
      <c r="AF16" s="4">
        <v>0</v>
      </c>
      <c r="AG16" s="4">
        <v>92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</row>
    <row r="17" spans="1:58" x14ac:dyDescent="0.25">
      <c r="A17" s="4" t="s">
        <v>12</v>
      </c>
      <c r="B17" s="4">
        <v>20</v>
      </c>
      <c r="C17" s="4">
        <v>228</v>
      </c>
      <c r="D17" s="4">
        <v>27.87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85</v>
      </c>
      <c r="AD17" s="4">
        <v>0</v>
      </c>
      <c r="AE17" s="4">
        <v>0</v>
      </c>
      <c r="AF17" s="4">
        <v>0</v>
      </c>
      <c r="AG17" s="4">
        <v>0</v>
      </c>
      <c r="AH17" s="4">
        <v>1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13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</row>
    <row r="18" spans="1:58" x14ac:dyDescent="0.25">
      <c r="A18" s="4" t="s">
        <v>13</v>
      </c>
      <c r="B18" s="4">
        <v>19</v>
      </c>
      <c r="C18" s="4">
        <v>234</v>
      </c>
      <c r="D18" s="4">
        <f>AVERAGE(7.4,28.2,23.4,48)</f>
        <v>26.75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4</v>
      </c>
      <c r="Y18" s="4">
        <v>0</v>
      </c>
      <c r="Z18" s="4">
        <v>0</v>
      </c>
      <c r="AA18" s="4">
        <v>0</v>
      </c>
      <c r="AB18" s="4">
        <v>0</v>
      </c>
      <c r="AC18" s="4">
        <v>95</v>
      </c>
      <c r="AD18" s="4">
        <v>0</v>
      </c>
      <c r="AE18" s="4">
        <v>0</v>
      </c>
      <c r="AF18" s="4">
        <v>0</v>
      </c>
      <c r="AG18" s="4">
        <v>2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</row>
    <row r="19" spans="1:58" x14ac:dyDescent="0.25">
      <c r="A19" s="4" t="s">
        <v>14</v>
      </c>
      <c r="B19" s="4">
        <v>13</v>
      </c>
      <c r="C19" s="4">
        <v>258</v>
      </c>
      <c r="D19" s="4">
        <f>AVERAGE(10, 11.2, 46, 46.1)</f>
        <v>28.325000000000003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>
        <v>0</v>
      </c>
      <c r="Z19" s="4">
        <v>0</v>
      </c>
      <c r="AA19" s="4">
        <v>0</v>
      </c>
      <c r="AB19" s="4">
        <v>0</v>
      </c>
      <c r="AC19" s="4">
        <v>61</v>
      </c>
      <c r="AD19" s="4">
        <v>17</v>
      </c>
      <c r="AE19" s="4">
        <v>0</v>
      </c>
      <c r="AF19" s="4">
        <v>9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9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</row>
    <row r="20" spans="1:58" x14ac:dyDescent="0.25">
      <c r="A20" s="4" t="s">
        <v>15</v>
      </c>
      <c r="B20" s="4">
        <v>14</v>
      </c>
      <c r="C20" s="4">
        <v>240</v>
      </c>
      <c r="D20" s="4">
        <f>AVERAGE(10.5,12,21,17.5)</f>
        <v>15.25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2</v>
      </c>
      <c r="Y20" s="4">
        <v>0</v>
      </c>
      <c r="Z20" s="4">
        <v>0</v>
      </c>
      <c r="AA20" s="4">
        <v>0</v>
      </c>
      <c r="AB20" s="4">
        <v>0</v>
      </c>
      <c r="AC20" s="4">
        <v>33</v>
      </c>
      <c r="AD20" s="4">
        <v>7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4</v>
      </c>
      <c r="AM20" s="4">
        <v>4</v>
      </c>
      <c r="AN20" s="4">
        <v>0</v>
      </c>
      <c r="AO20" s="4">
        <v>0</v>
      </c>
      <c r="AP20" s="4">
        <v>0</v>
      </c>
      <c r="AQ20" s="4">
        <v>3</v>
      </c>
      <c r="AR20" s="4">
        <v>6</v>
      </c>
      <c r="AS20" s="4">
        <v>37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</row>
    <row r="21" spans="1:58" x14ac:dyDescent="0.25">
      <c r="A21" s="4" t="s">
        <v>16</v>
      </c>
      <c r="B21" s="4">
        <v>11</v>
      </c>
      <c r="C21" s="4">
        <v>222</v>
      </c>
      <c r="D21" s="4">
        <f>AVERAGE(28.6,17,20,18.5)</f>
        <v>21.024999999999999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4</v>
      </c>
      <c r="Y21" s="4">
        <v>0</v>
      </c>
      <c r="Z21" s="4">
        <v>0</v>
      </c>
      <c r="AA21" s="4">
        <v>0</v>
      </c>
      <c r="AB21" s="4">
        <v>0</v>
      </c>
      <c r="AC21" s="4">
        <v>12</v>
      </c>
      <c r="AD21" s="4">
        <v>5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34</v>
      </c>
      <c r="AR21" s="4">
        <v>0</v>
      </c>
      <c r="AS21" s="4">
        <v>41</v>
      </c>
      <c r="AT21" s="4">
        <v>4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</row>
    <row r="22" spans="1:58" ht="15" customHeight="1" x14ac:dyDescent="0.25">
      <c r="A22" s="4" t="s">
        <v>17</v>
      </c>
      <c r="B22" s="4">
        <v>13</v>
      </c>
      <c r="C22" s="4">
        <v>220</v>
      </c>
      <c r="D22" s="4">
        <f>AVERAGE(17.3,12.2,22.1,10.5)</f>
        <v>15.525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56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1</v>
      </c>
      <c r="AQ22" s="4">
        <v>34</v>
      </c>
      <c r="AR22" s="4">
        <v>0</v>
      </c>
      <c r="AS22" s="4">
        <v>0</v>
      </c>
      <c r="AT22" s="4">
        <v>1</v>
      </c>
      <c r="AU22" s="4">
        <v>8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</row>
    <row r="23" spans="1:58" x14ac:dyDescent="0.25">
      <c r="A23" s="4" t="s">
        <v>18</v>
      </c>
      <c r="B23" s="4">
        <v>15</v>
      </c>
      <c r="C23" s="4">
        <v>228</v>
      </c>
      <c r="D23" s="4">
        <f>AVERAGE(19.1,17.1,27.4,12.5)</f>
        <v>19.024999999999999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33</v>
      </c>
      <c r="Y23" s="4">
        <v>0</v>
      </c>
      <c r="Z23" s="4">
        <v>0</v>
      </c>
      <c r="AA23" s="4">
        <v>7</v>
      </c>
      <c r="AB23" s="4">
        <v>0</v>
      </c>
      <c r="AC23" s="4">
        <v>53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4</v>
      </c>
      <c r="AQ23" s="4">
        <v>3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</row>
    <row r="24" spans="1:58" x14ac:dyDescent="0.25">
      <c r="A24" s="4" t="s">
        <v>19</v>
      </c>
      <c r="B24" s="4">
        <v>18</v>
      </c>
      <c r="C24" s="4">
        <v>228</v>
      </c>
      <c r="D24" s="4">
        <f>AVERAGE(38.6,7,13.7,27.2)</f>
        <v>21.625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30</v>
      </c>
      <c r="Y24" s="4">
        <v>0</v>
      </c>
      <c r="Z24" s="4">
        <v>0</v>
      </c>
      <c r="AA24" s="4">
        <v>15</v>
      </c>
      <c r="AB24" s="4">
        <v>0</v>
      </c>
      <c r="AC24" s="4">
        <v>48</v>
      </c>
      <c r="AD24" s="4">
        <v>0</v>
      </c>
      <c r="AE24" s="4">
        <v>0</v>
      </c>
      <c r="AF24" s="4">
        <v>3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2</v>
      </c>
      <c r="AR24" s="4">
        <v>0</v>
      </c>
      <c r="AS24" s="4">
        <v>2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</row>
    <row r="25" spans="1:58" x14ac:dyDescent="0.25">
      <c r="A25" s="4" t="s">
        <v>20</v>
      </c>
      <c r="B25" s="4">
        <v>14</v>
      </c>
      <c r="C25" s="4">
        <v>228</v>
      </c>
      <c r="D25" s="4">
        <f>AVERAGE(22.9,27.5,21,27.5)</f>
        <v>24.725000000000001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77</v>
      </c>
      <c r="Y25" s="4">
        <v>0</v>
      </c>
      <c r="Z25" s="4">
        <v>0</v>
      </c>
      <c r="AA25" s="4">
        <v>4</v>
      </c>
      <c r="AB25" s="4">
        <v>0</v>
      </c>
      <c r="AC25" s="4">
        <v>15</v>
      </c>
      <c r="AD25" s="4">
        <v>0</v>
      </c>
      <c r="AE25" s="4">
        <v>0</v>
      </c>
      <c r="AF25" s="4">
        <v>4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</row>
    <row r="26" spans="1:58" x14ac:dyDescent="0.25">
      <c r="A26" s="4" t="s">
        <v>21</v>
      </c>
      <c r="B26" s="4">
        <v>14</v>
      </c>
      <c r="C26" s="4">
        <v>240</v>
      </c>
      <c r="D26" s="4">
        <f>AVERAGE(28.7,25.5,16.3,16)</f>
        <v>21.625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22</v>
      </c>
      <c r="Y26" s="4">
        <v>0</v>
      </c>
      <c r="Z26" s="4">
        <v>0</v>
      </c>
      <c r="AA26" s="4">
        <v>0</v>
      </c>
      <c r="AB26" s="4">
        <v>0</v>
      </c>
      <c r="AC26" s="4">
        <v>9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62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</row>
    <row r="27" spans="1:58" x14ac:dyDescent="0.25">
      <c r="A27" s="4" t="s">
        <v>22</v>
      </c>
      <c r="B27" s="4">
        <v>15</v>
      </c>
      <c r="C27" s="4">
        <v>228</v>
      </c>
      <c r="D27" s="4">
        <f>AVERAGE(17.2,29.1,15.5,19.6)</f>
        <v>20.350000000000001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67</v>
      </c>
      <c r="Y27" s="4">
        <v>0</v>
      </c>
      <c r="Z27" s="4">
        <v>0</v>
      </c>
      <c r="AA27" s="4">
        <v>0</v>
      </c>
      <c r="AB27" s="4">
        <v>0</v>
      </c>
      <c r="AC27" s="4">
        <v>15</v>
      </c>
      <c r="AD27" s="4">
        <v>1</v>
      </c>
      <c r="AE27" s="4">
        <v>0</v>
      </c>
      <c r="AF27" s="4">
        <v>5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6</v>
      </c>
      <c r="AQ27" s="4">
        <v>6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</row>
    <row r="28" spans="1:58" x14ac:dyDescent="0.25">
      <c r="A28" s="4" t="s">
        <v>23</v>
      </c>
      <c r="B28" s="4">
        <v>14</v>
      </c>
      <c r="C28" s="4">
        <v>244</v>
      </c>
      <c r="D28" s="4">
        <f>AVERAGE(23.2,26.9,5.5,0)</f>
        <v>13.899999999999999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84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26</v>
      </c>
      <c r="Y28" s="4">
        <v>0</v>
      </c>
      <c r="Z28" s="4">
        <v>0</v>
      </c>
      <c r="AA28" s="4">
        <v>0</v>
      </c>
      <c r="AB28" s="4">
        <v>0</v>
      </c>
      <c r="AC28" s="4">
        <v>38</v>
      </c>
      <c r="AD28" s="4">
        <v>31</v>
      </c>
      <c r="AE28" s="4">
        <v>0</v>
      </c>
      <c r="AF28" s="4">
        <v>5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</row>
    <row r="29" spans="1:58" x14ac:dyDescent="0.25">
      <c r="A29" s="4" t="s">
        <v>24</v>
      </c>
      <c r="B29" s="4">
        <v>11</v>
      </c>
      <c r="C29" s="4">
        <v>242</v>
      </c>
      <c r="D29" s="4">
        <f>AVERAGE(20.5,0,23.3,11.3)</f>
        <v>13.774999999999999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52</v>
      </c>
      <c r="Y29" s="4">
        <v>0</v>
      </c>
      <c r="Z29" s="4">
        <v>0</v>
      </c>
      <c r="AA29" s="4">
        <v>0</v>
      </c>
      <c r="AB29" s="4">
        <v>0</v>
      </c>
      <c r="AC29" s="4">
        <v>47</v>
      </c>
      <c r="AD29" s="4">
        <v>0</v>
      </c>
      <c r="AE29" s="4">
        <v>0</v>
      </c>
      <c r="AF29" s="4">
        <v>0</v>
      </c>
      <c r="AG29" s="4">
        <v>1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</row>
    <row r="30" spans="1:58" x14ac:dyDescent="0.25">
      <c r="A30" s="4" t="s">
        <v>25</v>
      </c>
      <c r="B30" s="4">
        <v>5</v>
      </c>
      <c r="C30" s="4">
        <v>264</v>
      </c>
      <c r="D30" s="4">
        <f>AVERAGE(16.3,7.2,6,12)</f>
        <v>10.375</v>
      </c>
      <c r="E30" s="4">
        <v>0</v>
      </c>
      <c r="F30" s="4">
        <v>1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27</v>
      </c>
      <c r="W30" s="4">
        <v>0</v>
      </c>
      <c r="X30" s="4">
        <v>5</v>
      </c>
      <c r="Y30" s="4">
        <v>0</v>
      </c>
      <c r="Z30" s="4">
        <v>0</v>
      </c>
      <c r="AA30" s="4">
        <v>0</v>
      </c>
      <c r="AB30" s="4">
        <v>0</v>
      </c>
      <c r="AC30" s="4">
        <v>22</v>
      </c>
      <c r="AD30" s="4">
        <v>0</v>
      </c>
      <c r="AE30" s="4">
        <v>0</v>
      </c>
      <c r="AF30" s="4">
        <v>36</v>
      </c>
      <c r="AG30" s="4">
        <v>20</v>
      </c>
      <c r="AH30" s="4">
        <v>16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1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</row>
    <row r="31" spans="1:58" x14ac:dyDescent="0.25">
      <c r="A31" s="4" t="s">
        <v>26</v>
      </c>
      <c r="B31" s="4">
        <v>10</v>
      </c>
      <c r="C31" s="4">
        <v>304</v>
      </c>
      <c r="D31" s="4">
        <f>AVERAGE(10.5,12,6,35)</f>
        <v>15.875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66</v>
      </c>
      <c r="AD31" s="4">
        <v>0</v>
      </c>
      <c r="AE31" s="4">
        <v>0</v>
      </c>
      <c r="AF31" s="4">
        <v>0</v>
      </c>
      <c r="AG31" s="4">
        <v>0</v>
      </c>
      <c r="AH31" s="4">
        <v>34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</row>
    <row r="32" spans="1:58" x14ac:dyDescent="0.25">
      <c r="A32" s="4" t="s">
        <v>27</v>
      </c>
      <c r="B32" s="4">
        <v>15</v>
      </c>
      <c r="C32" s="4">
        <v>332</v>
      </c>
      <c r="D32" s="4">
        <f>AVERAGE(17.1,8,13,15.1)</f>
        <v>13.3</v>
      </c>
      <c r="E32" s="4">
        <v>0</v>
      </c>
      <c r="F32" s="4">
        <v>0</v>
      </c>
      <c r="G32" s="4">
        <v>0</v>
      </c>
      <c r="H32" s="4">
        <v>1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2</v>
      </c>
      <c r="Y32" s="4">
        <v>0</v>
      </c>
      <c r="Z32" s="4">
        <v>0</v>
      </c>
      <c r="AA32" s="4">
        <v>0</v>
      </c>
      <c r="AB32" s="4">
        <v>13</v>
      </c>
      <c r="AC32" s="4">
        <v>56</v>
      </c>
      <c r="AD32" s="4">
        <v>0</v>
      </c>
      <c r="AE32" s="4">
        <v>0</v>
      </c>
      <c r="AF32" s="4">
        <v>0</v>
      </c>
      <c r="AG32" s="4">
        <v>14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15</v>
      </c>
      <c r="BF32" s="4">
        <v>0</v>
      </c>
    </row>
    <row r="33" spans="1:58" x14ac:dyDescent="0.25">
      <c r="A33" s="4" t="s">
        <v>28</v>
      </c>
      <c r="B33" s="4">
        <v>16</v>
      </c>
      <c r="C33" s="4">
        <v>238</v>
      </c>
      <c r="D33" s="4">
        <f>AVERAGE(17.6,27.5,48,23)</f>
        <v>29.024999999999999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25</v>
      </c>
      <c r="Y33" s="4">
        <v>0</v>
      </c>
      <c r="Z33" s="4">
        <v>0</v>
      </c>
      <c r="AA33" s="4">
        <v>17</v>
      </c>
      <c r="AB33" s="4">
        <v>20</v>
      </c>
      <c r="AC33" s="4">
        <v>20</v>
      </c>
      <c r="AD33" s="4">
        <v>0</v>
      </c>
      <c r="AE33" s="4">
        <v>0</v>
      </c>
      <c r="AF33" s="4">
        <v>0</v>
      </c>
      <c r="AG33" s="4">
        <v>1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6</v>
      </c>
      <c r="AR33" s="4">
        <v>0</v>
      </c>
      <c r="AS33" s="4">
        <v>0</v>
      </c>
      <c r="AT33" s="4">
        <v>0</v>
      </c>
      <c r="AU33" s="4">
        <v>0</v>
      </c>
      <c r="AV33" s="4">
        <v>7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</row>
    <row r="34" spans="1:58" x14ac:dyDescent="0.25">
      <c r="A34" s="4" t="s">
        <v>29</v>
      </c>
      <c r="B34" s="4">
        <v>13</v>
      </c>
      <c r="C34" s="4">
        <v>224</v>
      </c>
      <c r="D34" s="4">
        <f>AVERAGE(17,15.5,35.1,11.7)</f>
        <v>19.824999999999999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34</v>
      </c>
      <c r="Y34" s="4">
        <v>0</v>
      </c>
      <c r="Z34" s="4">
        <v>0</v>
      </c>
      <c r="AA34" s="4">
        <v>0</v>
      </c>
      <c r="AB34" s="4">
        <v>0</v>
      </c>
      <c r="AC34" s="4">
        <v>66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</row>
    <row r="35" spans="1:58" x14ac:dyDescent="0.25">
      <c r="A35" s="4" t="s">
        <v>30</v>
      </c>
      <c r="B35" s="4">
        <v>15</v>
      </c>
      <c r="C35" s="4">
        <v>224</v>
      </c>
      <c r="D35" s="4">
        <f>AVERAGE(11.1,13,22,18.9)</f>
        <v>16.25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15</v>
      </c>
      <c r="Y35" s="4">
        <v>0</v>
      </c>
      <c r="Z35" s="4">
        <v>0</v>
      </c>
      <c r="AA35" s="4">
        <v>0</v>
      </c>
      <c r="AB35" s="4">
        <v>78</v>
      </c>
      <c r="AC35" s="4">
        <v>17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</row>
    <row r="36" spans="1:58" x14ac:dyDescent="0.25">
      <c r="A36" s="4" t="s">
        <v>31</v>
      </c>
      <c r="B36" s="4">
        <v>19</v>
      </c>
      <c r="C36" s="4">
        <v>234</v>
      </c>
      <c r="D36" s="4">
        <f>AVERAGE(14.5,8,11,11.2)</f>
        <v>11.175000000000001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41</v>
      </c>
      <c r="Y36" s="4">
        <v>0</v>
      </c>
      <c r="Z36" s="4">
        <v>0</v>
      </c>
      <c r="AA36" s="4">
        <v>0</v>
      </c>
      <c r="AB36" s="4">
        <v>13</v>
      </c>
      <c r="AC36" s="4">
        <v>35</v>
      </c>
      <c r="AD36" s="4">
        <v>7</v>
      </c>
      <c r="AE36" s="4">
        <v>0</v>
      </c>
      <c r="AF36" s="4">
        <v>4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</row>
    <row r="37" spans="1:58" x14ac:dyDescent="0.25">
      <c r="A37" s="4" t="s">
        <v>32</v>
      </c>
      <c r="B37" s="4">
        <v>17</v>
      </c>
      <c r="C37" s="4">
        <v>222</v>
      </c>
      <c r="D37" s="4">
        <f>AVERAGE(26,20.5,25.5,12)</f>
        <v>21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19</v>
      </c>
      <c r="Y37" s="4">
        <v>0</v>
      </c>
      <c r="Z37" s="4">
        <v>0</v>
      </c>
      <c r="AA37" s="4">
        <v>0</v>
      </c>
      <c r="AB37" s="4">
        <v>10</v>
      </c>
      <c r="AC37" s="4">
        <v>58</v>
      </c>
      <c r="AD37" s="4">
        <v>3</v>
      </c>
      <c r="AE37" s="4">
        <v>0</v>
      </c>
      <c r="AF37" s="4">
        <v>0</v>
      </c>
      <c r="AG37" s="4">
        <v>10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</row>
    <row r="38" spans="1:58" x14ac:dyDescent="0.25">
      <c r="A38" s="4" t="s">
        <v>33</v>
      </c>
      <c r="B38" s="4">
        <v>16</v>
      </c>
      <c r="C38" s="4">
        <v>224</v>
      </c>
      <c r="D38" s="4">
        <f>AVERAGE(31,26.3,17.2,20.1)</f>
        <v>23.65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31</v>
      </c>
      <c r="Y38" s="4">
        <v>0</v>
      </c>
      <c r="Z38" s="4">
        <v>0</v>
      </c>
      <c r="AA38" s="4">
        <v>0</v>
      </c>
      <c r="AB38" s="4">
        <v>9</v>
      </c>
      <c r="AC38" s="4">
        <v>53</v>
      </c>
      <c r="AD38" s="4">
        <v>3</v>
      </c>
      <c r="AE38" s="4">
        <v>0</v>
      </c>
      <c r="AF38" s="4">
        <v>4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</row>
    <row r="39" spans="1:58" x14ac:dyDescent="0.25">
      <c r="A39" s="4" t="s">
        <v>34</v>
      </c>
      <c r="B39" s="4">
        <v>16</v>
      </c>
      <c r="C39" s="4">
        <v>238</v>
      </c>
      <c r="D39" s="4">
        <f>AVERAGE(12,10.2,13.3,26.7)</f>
        <v>15.55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5</v>
      </c>
      <c r="Y39" s="4">
        <v>0</v>
      </c>
      <c r="Z39" s="4">
        <v>0</v>
      </c>
      <c r="AA39" s="4">
        <v>0</v>
      </c>
      <c r="AB39" s="4">
        <v>37</v>
      </c>
      <c r="AC39" s="4">
        <v>53</v>
      </c>
      <c r="AD39" s="4">
        <v>0</v>
      </c>
      <c r="AE39" s="4">
        <v>0</v>
      </c>
      <c r="AF39" s="4">
        <v>0</v>
      </c>
      <c r="AG39" s="4">
        <v>5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</row>
    <row r="40" spans="1:58" x14ac:dyDescent="0.25">
      <c r="A40" s="4" t="s">
        <v>35</v>
      </c>
      <c r="B40" s="4">
        <v>15</v>
      </c>
      <c r="C40" s="4">
        <v>242</v>
      </c>
      <c r="D40" s="4">
        <f>AVERAGE(27.4,6.6,8,7.9)</f>
        <v>12.475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5</v>
      </c>
      <c r="Y40" s="4">
        <v>0</v>
      </c>
      <c r="Z40" s="4">
        <v>0</v>
      </c>
      <c r="AA40" s="4">
        <v>0</v>
      </c>
      <c r="AB40" s="4">
        <v>12</v>
      </c>
      <c r="AC40" s="4">
        <v>6</v>
      </c>
      <c r="AD40" s="4">
        <v>44</v>
      </c>
      <c r="AE40" s="4">
        <v>0</v>
      </c>
      <c r="AF40" s="4">
        <v>33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</row>
    <row r="41" spans="1:58" x14ac:dyDescent="0.25">
      <c r="A41" s="4" t="s">
        <v>36</v>
      </c>
      <c r="B41" s="4">
        <v>13</v>
      </c>
      <c r="C41" s="4">
        <v>230</v>
      </c>
      <c r="D41" s="4">
        <f>AVERAGE(21.2,27.2,41,0)</f>
        <v>22.35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58</v>
      </c>
      <c r="Y41" s="4">
        <v>0</v>
      </c>
      <c r="Z41" s="4">
        <v>0</v>
      </c>
      <c r="AA41" s="4">
        <v>0</v>
      </c>
      <c r="AB41" s="4">
        <v>31</v>
      </c>
      <c r="AC41" s="4">
        <v>9</v>
      </c>
      <c r="AD41" s="4">
        <v>0</v>
      </c>
      <c r="AE41" s="4">
        <v>0</v>
      </c>
      <c r="AF41" s="4">
        <v>2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</row>
    <row r="42" spans="1:58" x14ac:dyDescent="0.25">
      <c r="A42" s="4" t="s">
        <v>37</v>
      </c>
      <c r="B42" s="4">
        <v>15</v>
      </c>
      <c r="C42" s="4">
        <v>230</v>
      </c>
      <c r="D42" s="4">
        <f>AVERAGE(7.6,19.4,33,23.5)</f>
        <v>20.875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51</v>
      </c>
      <c r="Y42" s="4">
        <v>0</v>
      </c>
      <c r="Z42" s="4">
        <v>0</v>
      </c>
      <c r="AA42" s="4">
        <v>0</v>
      </c>
      <c r="AB42" s="4">
        <v>0</v>
      </c>
      <c r="AC42" s="4">
        <v>39</v>
      </c>
      <c r="AD42" s="4">
        <v>0</v>
      </c>
      <c r="AE42" s="4">
        <v>4</v>
      </c>
      <c r="AF42" s="4">
        <v>6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</row>
    <row r="43" spans="1:58" x14ac:dyDescent="0.25">
      <c r="A43" s="4" t="s">
        <v>38</v>
      </c>
      <c r="B43" s="4">
        <v>15</v>
      </c>
      <c r="C43" s="4">
        <v>254</v>
      </c>
      <c r="D43" s="4">
        <f>AVERAGE(18.7,18.5,17,19)</f>
        <v>18.3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35</v>
      </c>
      <c r="Y43" s="4">
        <v>0</v>
      </c>
      <c r="Z43" s="4">
        <v>0</v>
      </c>
      <c r="AA43" s="4">
        <v>0</v>
      </c>
      <c r="AB43" s="4">
        <v>0</v>
      </c>
      <c r="AC43" s="4">
        <v>57</v>
      </c>
      <c r="AD43" s="4">
        <v>8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</row>
    <row r="44" spans="1:58" x14ac:dyDescent="0.25">
      <c r="A44" s="4" t="s">
        <v>39</v>
      </c>
      <c r="B44" s="4">
        <v>20</v>
      </c>
      <c r="C44" s="4">
        <v>222</v>
      </c>
      <c r="D44" s="4">
        <f>AVERAGE(24.2,22.8,14.6,8.5)</f>
        <v>17.524999999999999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2</v>
      </c>
      <c r="Y44" s="4">
        <v>0</v>
      </c>
      <c r="Z44" s="4">
        <v>0</v>
      </c>
      <c r="AA44" s="4">
        <v>0</v>
      </c>
      <c r="AB44" s="4">
        <v>6</v>
      </c>
      <c r="AC44" s="4">
        <v>78</v>
      </c>
      <c r="AD44" s="4">
        <v>0</v>
      </c>
      <c r="AE44" s="4">
        <v>0</v>
      </c>
      <c r="AF44" s="4">
        <v>0</v>
      </c>
      <c r="AG44" s="4">
        <v>1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3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10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</row>
    <row r="45" spans="1:58" x14ac:dyDescent="0.25">
      <c r="A45" s="4" t="s">
        <v>40</v>
      </c>
      <c r="B45" s="4">
        <v>17</v>
      </c>
      <c r="C45" s="4">
        <v>236</v>
      </c>
      <c r="D45" s="4">
        <f>AVERAGE(9.6,12.5,10,17.6)</f>
        <v>12.425000000000001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98</v>
      </c>
      <c r="O45" s="4">
        <v>0</v>
      </c>
      <c r="P45" s="4">
        <v>0</v>
      </c>
      <c r="Q45" s="4">
        <v>0</v>
      </c>
      <c r="R45" s="4">
        <v>0</v>
      </c>
      <c r="S45" s="4">
        <v>2</v>
      </c>
      <c r="T45" s="4">
        <v>0</v>
      </c>
      <c r="U45" s="4">
        <v>0</v>
      </c>
      <c r="V45" s="4">
        <v>0</v>
      </c>
      <c r="W45" s="4">
        <v>0</v>
      </c>
      <c r="X45" s="4">
        <v>20</v>
      </c>
      <c r="Y45" s="4">
        <v>0</v>
      </c>
      <c r="Z45" s="4">
        <v>0</v>
      </c>
      <c r="AA45" s="4">
        <v>0</v>
      </c>
      <c r="AB45" s="4">
        <v>0</v>
      </c>
      <c r="AC45" s="4">
        <v>29</v>
      </c>
      <c r="AD45" s="4">
        <v>0</v>
      </c>
      <c r="AE45" s="4">
        <v>0</v>
      </c>
      <c r="AF45" s="4">
        <v>31</v>
      </c>
      <c r="AG45" s="4">
        <v>20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</row>
    <row r="46" spans="1:58" x14ac:dyDescent="0.25">
      <c r="A46" s="4" t="s">
        <v>41</v>
      </c>
      <c r="B46" s="4">
        <v>13</v>
      </c>
      <c r="C46" s="4">
        <v>246</v>
      </c>
      <c r="D46" s="4">
        <f>AVERAGE(30.5,16.8,16.5,19.1)</f>
        <v>20.725000000000001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9</v>
      </c>
      <c r="Y46" s="4">
        <v>1</v>
      </c>
      <c r="Z46" s="4">
        <v>0</v>
      </c>
      <c r="AA46" s="4">
        <v>0</v>
      </c>
      <c r="AB46" s="4">
        <v>78</v>
      </c>
      <c r="AC46" s="4">
        <v>8</v>
      </c>
      <c r="AD46" s="4">
        <v>0</v>
      </c>
      <c r="AE46" s="4">
        <v>0</v>
      </c>
      <c r="AF46" s="4">
        <v>4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</row>
    <row r="47" spans="1:58" x14ac:dyDescent="0.25">
      <c r="A47" s="4" t="s">
        <v>42</v>
      </c>
      <c r="B47" s="4">
        <v>17</v>
      </c>
      <c r="C47" s="4">
        <v>242</v>
      </c>
      <c r="D47" s="4">
        <f>AVERAGE(19.6,18.4,20.2,13.9)</f>
        <v>18.025000000000002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34</v>
      </c>
      <c r="Y47" s="4">
        <v>0</v>
      </c>
      <c r="Z47" s="4">
        <v>0</v>
      </c>
      <c r="AA47" s="4">
        <v>0</v>
      </c>
      <c r="AB47" s="4">
        <v>0</v>
      </c>
      <c r="AC47" s="4">
        <v>62</v>
      </c>
      <c r="AD47" s="4">
        <v>4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</row>
    <row r="48" spans="1:58" x14ac:dyDescent="0.25">
      <c r="A48" s="4" t="s">
        <v>43</v>
      </c>
      <c r="B48" s="4">
        <v>12</v>
      </c>
      <c r="C48" s="4">
        <v>318</v>
      </c>
      <c r="D48" s="4">
        <f>AVERAGE(16,17.5,17.2,20.2)</f>
        <v>17.725000000000001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15</v>
      </c>
      <c r="Y48" s="4">
        <v>0</v>
      </c>
      <c r="Z48" s="4">
        <v>0</v>
      </c>
      <c r="AA48" s="4">
        <v>4</v>
      </c>
      <c r="AB48" s="4">
        <v>24</v>
      </c>
      <c r="AC48" s="4">
        <v>55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2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</row>
    <row r="49" spans="1:58" x14ac:dyDescent="0.25">
      <c r="A49" s="4" t="s">
        <v>44</v>
      </c>
      <c r="B49" s="4">
        <v>15</v>
      </c>
      <c r="C49" s="4">
        <v>350</v>
      </c>
      <c r="D49" s="4">
        <f>AVERAGE(25.3,15.7,16.5,22)</f>
        <v>19.875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14</v>
      </c>
      <c r="Y49" s="4">
        <v>0</v>
      </c>
      <c r="Z49" s="4">
        <v>0</v>
      </c>
      <c r="AA49" s="4">
        <v>0</v>
      </c>
      <c r="AB49" s="4">
        <v>0</v>
      </c>
      <c r="AC49" s="4">
        <v>80</v>
      </c>
      <c r="AD49" s="4">
        <v>0</v>
      </c>
      <c r="AE49" s="4">
        <v>0</v>
      </c>
      <c r="AF49" s="4">
        <v>0</v>
      </c>
      <c r="AG49" s="4">
        <v>6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</row>
    <row r="50" spans="1:58" x14ac:dyDescent="0.25">
      <c r="A50" s="4" t="s">
        <v>45</v>
      </c>
      <c r="B50" s="4">
        <v>14</v>
      </c>
      <c r="C50" s="4">
        <v>350</v>
      </c>
      <c r="D50" s="4">
        <f>AVERAGE(9,8.3,0,20)</f>
        <v>9.3249999999999993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21</v>
      </c>
      <c r="Y50" s="4">
        <v>0</v>
      </c>
      <c r="Z50" s="4">
        <v>0</v>
      </c>
      <c r="AA50" s="4">
        <v>20</v>
      </c>
      <c r="AB50" s="4">
        <v>2</v>
      </c>
      <c r="AC50" s="4">
        <v>45</v>
      </c>
      <c r="AD50" s="4">
        <v>0</v>
      </c>
      <c r="AE50" s="4">
        <v>0</v>
      </c>
      <c r="AF50" s="4">
        <v>1</v>
      </c>
      <c r="AG50" s="4">
        <v>5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4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2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</row>
    <row r="51" spans="1:58" x14ac:dyDescent="0.25">
      <c r="A51" s="4" t="s">
        <v>46</v>
      </c>
      <c r="B51" s="4">
        <v>8</v>
      </c>
      <c r="C51" s="4">
        <v>320</v>
      </c>
      <c r="D51" s="4">
        <f>AVERAGE(31,23.6,21.4,9.6)</f>
        <v>21.4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19</v>
      </c>
      <c r="AB51" s="4">
        <v>0</v>
      </c>
      <c r="AC51" s="4">
        <v>73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2</v>
      </c>
      <c r="AR51" s="4">
        <v>0</v>
      </c>
      <c r="AS51" s="4">
        <v>0</v>
      </c>
      <c r="AT51" s="4">
        <v>0</v>
      </c>
      <c r="AU51" s="4">
        <v>0</v>
      </c>
      <c r="AV51" s="4">
        <v>5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</row>
    <row r="52" spans="1:58" x14ac:dyDescent="0.25">
      <c r="A52" s="4" t="s">
        <v>47</v>
      </c>
      <c r="B52" s="4">
        <v>8</v>
      </c>
      <c r="C52" s="4">
        <v>310</v>
      </c>
      <c r="D52" s="4">
        <f>AVERAGE(34,11.7,20,15.7)</f>
        <v>20.350000000000001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88</v>
      </c>
      <c r="AD52" s="4">
        <v>12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</row>
    <row r="53" spans="1:58" x14ac:dyDescent="0.25">
      <c r="A53" s="4" t="s">
        <v>48</v>
      </c>
      <c r="B53" s="4">
        <v>10</v>
      </c>
      <c r="C53" s="4">
        <v>270</v>
      </c>
      <c r="D53" s="4">
        <f>AVERAGE(0,21.1,0,10)</f>
        <v>7.7750000000000004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</v>
      </c>
      <c r="Z53" s="4">
        <v>0</v>
      </c>
      <c r="AA53" s="4">
        <v>4</v>
      </c>
      <c r="AB53" s="4">
        <v>0</v>
      </c>
      <c r="AC53" s="4">
        <v>78</v>
      </c>
      <c r="AD53" s="4">
        <v>16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1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</row>
    <row r="54" spans="1:58" x14ac:dyDescent="0.25">
      <c r="A54" s="4" t="s">
        <v>49</v>
      </c>
      <c r="B54" s="4">
        <v>11</v>
      </c>
      <c r="C54" s="4">
        <v>290</v>
      </c>
      <c r="D54" s="4">
        <f>AVERAGE(8.5,28.3,0,14.1)</f>
        <v>12.725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2</v>
      </c>
      <c r="Y54" s="4">
        <v>0</v>
      </c>
      <c r="Z54" s="4">
        <v>0</v>
      </c>
      <c r="AA54" s="4">
        <v>0</v>
      </c>
      <c r="AB54" s="4">
        <v>0</v>
      </c>
      <c r="AC54" s="4">
        <v>98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</row>
    <row r="55" spans="1:58" x14ac:dyDescent="0.25">
      <c r="A55" s="4" t="s">
        <v>50</v>
      </c>
      <c r="B55" s="4">
        <v>10</v>
      </c>
      <c r="C55" s="4">
        <v>260</v>
      </c>
      <c r="D55" s="4">
        <f>AVERAGE(21.6,10.5,24,25.5)</f>
        <v>20.399999999999999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2</v>
      </c>
      <c r="Y55" s="4">
        <v>0</v>
      </c>
      <c r="Z55" s="4">
        <v>0</v>
      </c>
      <c r="AA55" s="4">
        <v>6</v>
      </c>
      <c r="AB55" s="4">
        <v>0</v>
      </c>
      <c r="AC55" s="4">
        <v>92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</row>
    <row r="56" spans="1:58" x14ac:dyDescent="0.25">
      <c r="A56" s="4" t="s">
        <v>51</v>
      </c>
      <c r="B56" s="4">
        <v>10</v>
      </c>
      <c r="C56" s="4">
        <v>270</v>
      </c>
      <c r="D56" s="4">
        <f>AVERAGE(12,10,24,16.7)</f>
        <v>15.675000000000001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1</v>
      </c>
      <c r="Y56" s="4">
        <v>0</v>
      </c>
      <c r="Z56" s="4">
        <v>0</v>
      </c>
      <c r="AA56" s="4">
        <v>18</v>
      </c>
      <c r="AB56" s="4">
        <v>0</v>
      </c>
      <c r="AC56" s="4">
        <v>76</v>
      </c>
      <c r="AD56" s="4">
        <v>0</v>
      </c>
      <c r="AE56" s="4">
        <v>0</v>
      </c>
      <c r="AF56" s="4">
        <v>0</v>
      </c>
      <c r="AG56" s="4">
        <v>5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</row>
    <row r="57" spans="1:58" x14ac:dyDescent="0.25">
      <c r="A57" s="4" t="s">
        <v>52</v>
      </c>
      <c r="B57" s="4">
        <v>13</v>
      </c>
      <c r="C57" s="4">
        <v>238</v>
      </c>
      <c r="D57" s="4">
        <f>AVERAGE(19.4,15.6,12.6,25.5)</f>
        <v>18.274999999999999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3</v>
      </c>
      <c r="W57" s="4">
        <v>0</v>
      </c>
      <c r="X57" s="4">
        <v>0</v>
      </c>
      <c r="Y57" s="4">
        <v>0</v>
      </c>
      <c r="Z57" s="4">
        <v>0</v>
      </c>
      <c r="AA57" s="4">
        <v>2</v>
      </c>
      <c r="AB57" s="4">
        <v>0</v>
      </c>
      <c r="AC57" s="4">
        <v>51</v>
      </c>
      <c r="AD57" s="4">
        <v>0</v>
      </c>
      <c r="AE57" s="4">
        <v>0</v>
      </c>
      <c r="AF57" s="4">
        <v>0</v>
      </c>
      <c r="AG57" s="4">
        <v>36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2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</row>
    <row r="58" spans="1:58" x14ac:dyDescent="0.25">
      <c r="A58" s="4" t="s">
        <v>53</v>
      </c>
      <c r="B58" s="4">
        <v>13</v>
      </c>
      <c r="C58" s="4">
        <v>248</v>
      </c>
      <c r="D58" s="4">
        <f>AVERAGE(18.7,24.6,22.1,18.3)</f>
        <v>20.925000000000001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5</v>
      </c>
      <c r="Y58" s="4">
        <v>0</v>
      </c>
      <c r="Z58" s="4">
        <v>0</v>
      </c>
      <c r="AA58" s="4">
        <v>10</v>
      </c>
      <c r="AB58" s="4">
        <v>0</v>
      </c>
      <c r="AC58" s="4">
        <v>82</v>
      </c>
      <c r="AD58" s="4">
        <v>0</v>
      </c>
      <c r="AE58" s="4">
        <v>0</v>
      </c>
      <c r="AF58" s="4">
        <v>0</v>
      </c>
      <c r="AG58" s="4">
        <v>3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</row>
    <row r="59" spans="1:58" x14ac:dyDescent="0.25">
      <c r="A59" s="4" t="s">
        <v>54</v>
      </c>
      <c r="B59" s="4">
        <v>13</v>
      </c>
      <c r="C59" s="4">
        <v>240</v>
      </c>
      <c r="D59" s="4">
        <f>AVERAGE(23.9,28.6,7,290)</f>
        <v>87.375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23</v>
      </c>
      <c r="Y59" s="4">
        <v>0</v>
      </c>
      <c r="Z59" s="4">
        <v>0</v>
      </c>
      <c r="AA59" s="4">
        <v>0</v>
      </c>
      <c r="AB59" s="4">
        <v>0</v>
      </c>
      <c r="AC59" s="4">
        <v>60</v>
      </c>
      <c r="AD59" s="4">
        <v>0</v>
      </c>
      <c r="AE59" s="4">
        <v>0</v>
      </c>
      <c r="AF59" s="4">
        <v>0</v>
      </c>
      <c r="AG59" s="4">
        <v>17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</row>
    <row r="60" spans="1:58" x14ac:dyDescent="0.25">
      <c r="A60" s="4" t="s">
        <v>55</v>
      </c>
      <c r="B60" s="4">
        <v>14</v>
      </c>
      <c r="C60" s="4">
        <v>246</v>
      </c>
      <c r="D60" s="4">
        <f>AVERAGE(17.1,25.7,18,28.8)</f>
        <v>22.4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35</v>
      </c>
      <c r="Y60" s="4">
        <v>0</v>
      </c>
      <c r="Z60" s="4">
        <v>0</v>
      </c>
      <c r="AA60" s="4">
        <v>0</v>
      </c>
      <c r="AB60" s="4">
        <v>0</v>
      </c>
      <c r="AC60" s="4">
        <v>55</v>
      </c>
      <c r="AD60" s="4">
        <v>10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</row>
    <row r="61" spans="1:58" x14ac:dyDescent="0.25">
      <c r="A61" s="4" t="s">
        <v>56</v>
      </c>
      <c r="B61" s="4">
        <v>18</v>
      </c>
      <c r="C61" s="4">
        <v>260</v>
      </c>
      <c r="D61" s="4">
        <f>AVERAGE(11.1,10,20.5,22.3)</f>
        <v>15.975000000000001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48</v>
      </c>
      <c r="Y61" s="4">
        <v>0</v>
      </c>
      <c r="Z61" s="4">
        <v>0</v>
      </c>
      <c r="AA61" s="4">
        <v>0</v>
      </c>
      <c r="AB61" s="4">
        <v>0</v>
      </c>
      <c r="AC61" s="4">
        <v>34</v>
      </c>
      <c r="AD61" s="4">
        <v>11</v>
      </c>
      <c r="AE61" s="4">
        <v>0</v>
      </c>
      <c r="AF61" s="4">
        <v>7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</row>
    <row r="62" spans="1:58" x14ac:dyDescent="0.25">
      <c r="A62" s="4" t="s">
        <v>57</v>
      </c>
      <c r="B62" s="4">
        <v>15</v>
      </c>
      <c r="C62" s="4">
        <v>250</v>
      </c>
      <c r="D62" s="4">
        <f>AVERAGE(22.9,25,34,23.6)</f>
        <v>26.375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44</v>
      </c>
      <c r="Y62" s="4">
        <v>0</v>
      </c>
      <c r="Z62" s="4">
        <v>0</v>
      </c>
      <c r="AA62" s="4">
        <v>0</v>
      </c>
      <c r="AB62" s="4">
        <v>17</v>
      </c>
      <c r="AC62" s="4">
        <v>32</v>
      </c>
      <c r="AD62" s="4">
        <v>0</v>
      </c>
      <c r="AE62" s="4">
        <v>0</v>
      </c>
      <c r="AF62" s="4">
        <v>2</v>
      </c>
      <c r="AG62" s="4">
        <v>5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</row>
    <row r="63" spans="1:58" x14ac:dyDescent="0.25">
      <c r="A63" s="4" t="s">
        <v>58</v>
      </c>
      <c r="B63" s="4">
        <v>14</v>
      </c>
      <c r="C63" s="4">
        <v>252</v>
      </c>
      <c r="D63" s="4">
        <f>AVERAGE(27.1,9.5,16.4,12)</f>
        <v>16.25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6</v>
      </c>
      <c r="Y63" s="4">
        <v>0</v>
      </c>
      <c r="Z63" s="4">
        <v>0</v>
      </c>
      <c r="AA63" s="4">
        <v>6</v>
      </c>
      <c r="AB63" s="4">
        <v>0</v>
      </c>
      <c r="AC63" s="4">
        <v>60</v>
      </c>
      <c r="AD63" s="4">
        <v>26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2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</row>
    <row r="64" spans="1:58" x14ac:dyDescent="0.25">
      <c r="A64" s="4" t="s">
        <v>59</v>
      </c>
      <c r="B64" s="4">
        <v>13</v>
      </c>
      <c r="C64" s="4">
        <v>238</v>
      </c>
      <c r="D64" s="4">
        <f>AVERAGE(19.3,24,0,13.6)</f>
        <v>14.225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16</v>
      </c>
      <c r="Y64" s="4">
        <v>0</v>
      </c>
      <c r="Z64" s="4">
        <v>0</v>
      </c>
      <c r="AA64" s="4">
        <v>6</v>
      </c>
      <c r="AB64" s="4">
        <v>10</v>
      </c>
      <c r="AC64" s="4">
        <v>66</v>
      </c>
      <c r="AD64" s="4">
        <v>2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</row>
    <row r="65" spans="1:58" x14ac:dyDescent="0.25">
      <c r="A65" s="4" t="s">
        <v>60</v>
      </c>
      <c r="B65" s="4">
        <v>13</v>
      </c>
      <c r="C65" s="4">
        <v>238</v>
      </c>
      <c r="D65" s="4">
        <f>AVERAGE(13.3,26.6,24.5,19.7)</f>
        <v>21.025000000000002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34</v>
      </c>
      <c r="Y65" s="4">
        <v>0</v>
      </c>
      <c r="Z65" s="4">
        <v>0</v>
      </c>
      <c r="AA65" s="4">
        <v>2</v>
      </c>
      <c r="AB65" s="4">
        <v>6</v>
      </c>
      <c r="AC65" s="4">
        <v>58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</row>
    <row r="66" spans="1:58" x14ac:dyDescent="0.25">
      <c r="A66" s="4" t="s">
        <v>61</v>
      </c>
      <c r="B66" s="4">
        <v>14</v>
      </c>
      <c r="C66" s="4">
        <v>244</v>
      </c>
      <c r="D66" s="4">
        <f>AVERAGE(26,15,23.5,28.3)</f>
        <v>23.2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24</v>
      </c>
      <c r="Y66" s="4">
        <v>0</v>
      </c>
      <c r="Z66" s="4">
        <v>0</v>
      </c>
      <c r="AA66" s="4">
        <v>0</v>
      </c>
      <c r="AB66" s="4">
        <v>16</v>
      </c>
      <c r="AC66" s="4">
        <v>50</v>
      </c>
      <c r="AD66" s="4">
        <v>10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</row>
    <row r="67" spans="1:58" x14ac:dyDescent="0.25">
      <c r="A67" s="4" t="s">
        <v>62</v>
      </c>
      <c r="B67" s="4">
        <v>13</v>
      </c>
      <c r="C67" s="4">
        <v>242</v>
      </c>
      <c r="D67" s="4">
        <f>AVERAGE(27.3,23.6,18.5,17)</f>
        <v>21.6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40</v>
      </c>
      <c r="Y67" s="4">
        <v>0</v>
      </c>
      <c r="Z67" s="4">
        <v>0</v>
      </c>
      <c r="AA67" s="4">
        <v>0</v>
      </c>
      <c r="AB67" s="4">
        <v>19</v>
      </c>
      <c r="AC67" s="4">
        <v>41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</row>
    <row r="68" spans="1:58" x14ac:dyDescent="0.25">
      <c r="A68" s="4" t="s">
        <v>63</v>
      </c>
      <c r="B68" s="4">
        <v>13</v>
      </c>
      <c r="C68" s="4">
        <v>252</v>
      </c>
      <c r="D68" s="4">
        <f>AVERAGE(17,19.5,9.3,16.3)</f>
        <v>15.524999999999999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28</v>
      </c>
      <c r="Y68" s="4">
        <v>0</v>
      </c>
      <c r="Z68" s="4">
        <v>0</v>
      </c>
      <c r="AA68" s="4">
        <v>0</v>
      </c>
      <c r="AB68" s="4">
        <v>0</v>
      </c>
      <c r="AC68" s="4">
        <v>72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</row>
    <row r="69" spans="1:58" x14ac:dyDescent="0.25">
      <c r="A69" s="4" t="s">
        <v>64</v>
      </c>
      <c r="B69" s="4">
        <v>13</v>
      </c>
      <c r="C69" s="4">
        <v>250</v>
      </c>
      <c r="D69" s="4">
        <f>AVERAGE(0,16.5,15.7,13)</f>
        <v>11.3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24</v>
      </c>
      <c r="Y69" s="4">
        <v>0</v>
      </c>
      <c r="Z69" s="4">
        <v>0</v>
      </c>
      <c r="AA69" s="4">
        <v>0</v>
      </c>
      <c r="AB69" s="4">
        <v>60</v>
      </c>
      <c r="AC69" s="4">
        <v>4</v>
      </c>
      <c r="AD69" s="4">
        <v>0</v>
      </c>
      <c r="AE69" s="4">
        <v>12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</row>
    <row r="70" spans="1:58" x14ac:dyDescent="0.25">
      <c r="A70" s="4" t="s">
        <v>65</v>
      </c>
      <c r="B70" s="4">
        <v>15</v>
      </c>
      <c r="C70" s="4">
        <v>240</v>
      </c>
      <c r="D70" s="4">
        <f>AVERAGE(20.3,15.6,14.4,18.3)</f>
        <v>17.149999999999999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15</v>
      </c>
      <c r="Y70" s="4">
        <v>2</v>
      </c>
      <c r="Z70" s="4">
        <v>0</v>
      </c>
      <c r="AA70" s="4">
        <v>0</v>
      </c>
      <c r="AB70" s="4">
        <v>42</v>
      </c>
      <c r="AC70" s="4">
        <v>23</v>
      </c>
      <c r="AD70" s="4">
        <v>17</v>
      </c>
      <c r="AE70" s="4">
        <v>0</v>
      </c>
      <c r="AF70" s="4">
        <v>1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</row>
    <row r="71" spans="1:58" x14ac:dyDescent="0.25">
      <c r="A71" s="4" t="s">
        <v>66</v>
      </c>
      <c r="B71" s="4">
        <v>18</v>
      </c>
      <c r="C71" s="4">
        <v>232</v>
      </c>
      <c r="D71" s="4">
        <f>AVERAGE(13.5,20.9,9.7,16.5)</f>
        <v>15.149999999999999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15</v>
      </c>
      <c r="Y71" s="4">
        <v>0</v>
      </c>
      <c r="Z71" s="4">
        <v>0</v>
      </c>
      <c r="AA71" s="4">
        <v>0</v>
      </c>
      <c r="AB71" s="4">
        <v>63</v>
      </c>
      <c r="AC71" s="4">
        <v>12</v>
      </c>
      <c r="AD71" s="4">
        <v>10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</row>
    <row r="72" spans="1:58" x14ac:dyDescent="0.25">
      <c r="A72" s="4" t="s">
        <v>67</v>
      </c>
      <c r="B72" s="4">
        <v>14</v>
      </c>
      <c r="C72" s="4">
        <v>238</v>
      </c>
      <c r="D72" s="4">
        <f>AVERAGE(16.6,14.7,22.3,19.3)</f>
        <v>18.225000000000001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30</v>
      </c>
      <c r="Y72" s="4">
        <v>0</v>
      </c>
      <c r="Z72" s="4">
        <v>0</v>
      </c>
      <c r="AA72" s="4">
        <v>0</v>
      </c>
      <c r="AB72" s="4">
        <v>66</v>
      </c>
      <c r="AC72" s="4">
        <v>4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</row>
    <row r="73" spans="1:58" x14ac:dyDescent="0.25">
      <c r="A73" s="4" t="s">
        <v>68</v>
      </c>
      <c r="B73" s="4">
        <v>2</v>
      </c>
      <c r="C73" s="4">
        <v>40</v>
      </c>
      <c r="D73" s="4">
        <f>AVERAGE(47.3,17,22.2,31.3)</f>
        <v>29.45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12</v>
      </c>
      <c r="Y73" s="4">
        <v>0</v>
      </c>
      <c r="Z73" s="4">
        <v>0</v>
      </c>
      <c r="AA73" s="4">
        <v>2</v>
      </c>
      <c r="AB73" s="4">
        <v>0</v>
      </c>
      <c r="AC73" s="4">
        <v>28</v>
      </c>
      <c r="AD73" s="4">
        <v>52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6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</row>
    <row r="74" spans="1:58" x14ac:dyDescent="0.25">
      <c r="A74" s="4" t="s">
        <v>69</v>
      </c>
      <c r="B74" s="4">
        <v>5</v>
      </c>
      <c r="C74" s="4">
        <v>40</v>
      </c>
      <c r="D74" s="4">
        <f>AVERAGE(10.1,11.2,9.5,24.5)</f>
        <v>13.824999999999999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5</v>
      </c>
      <c r="Y74" s="4">
        <v>0</v>
      </c>
      <c r="Z74" s="4">
        <v>0</v>
      </c>
      <c r="AA74" s="4">
        <v>2</v>
      </c>
      <c r="AB74" s="4">
        <v>0</v>
      </c>
      <c r="AC74" s="4">
        <v>18</v>
      </c>
      <c r="AD74" s="4">
        <v>75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</row>
    <row r="75" spans="1:58" x14ac:dyDescent="0.25">
      <c r="A75" s="4" t="s">
        <v>70</v>
      </c>
      <c r="B75" s="4">
        <v>9</v>
      </c>
      <c r="C75" s="4">
        <v>40</v>
      </c>
      <c r="D75" s="4">
        <f>AVERAGE(11.6,22.2,10,18.2)</f>
        <v>15.5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8</v>
      </c>
      <c r="Y75" s="4">
        <v>0</v>
      </c>
      <c r="Z75" s="4">
        <v>0</v>
      </c>
      <c r="AA75" s="4">
        <v>1</v>
      </c>
      <c r="AB75" s="4">
        <v>0</v>
      </c>
      <c r="AC75" s="4">
        <v>40</v>
      </c>
      <c r="AD75" s="4">
        <v>37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2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12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</row>
    <row r="76" spans="1:58" x14ac:dyDescent="0.25">
      <c r="A76" s="4" t="s">
        <v>71</v>
      </c>
      <c r="B76" s="4">
        <v>11</v>
      </c>
      <c r="C76" s="4">
        <v>40</v>
      </c>
      <c r="D76" s="4">
        <f>AVERAGE(20.2,16.8,9,41)</f>
        <v>21.75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8</v>
      </c>
      <c r="Y76" s="4">
        <v>0</v>
      </c>
      <c r="Z76" s="4">
        <v>0</v>
      </c>
      <c r="AA76" s="4">
        <v>7</v>
      </c>
      <c r="AB76" s="4">
        <v>68</v>
      </c>
      <c r="AC76" s="4">
        <v>15</v>
      </c>
      <c r="AD76" s="4">
        <v>2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</row>
    <row r="77" spans="1:58" x14ac:dyDescent="0.25">
      <c r="A77" s="4" t="s">
        <v>72</v>
      </c>
      <c r="B77" s="4">
        <v>11</v>
      </c>
      <c r="C77" s="4">
        <v>40</v>
      </c>
      <c r="D77" s="4">
        <f>AVERAGE(29.1,20.4,5.1,7)</f>
        <v>15.4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9</v>
      </c>
      <c r="Y77" s="4">
        <v>0</v>
      </c>
      <c r="Z77" s="4">
        <v>0</v>
      </c>
      <c r="AA77" s="4">
        <v>4</v>
      </c>
      <c r="AB77" s="4">
        <v>14</v>
      </c>
      <c r="AC77" s="4">
        <v>69</v>
      </c>
      <c r="AD77" s="4">
        <v>4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</row>
    <row r="78" spans="1:58" x14ac:dyDescent="0.25">
      <c r="A78" s="4" t="s">
        <v>73</v>
      </c>
      <c r="B78" s="4">
        <v>13</v>
      </c>
      <c r="C78" s="4">
        <v>40</v>
      </c>
      <c r="D78" s="4">
        <f>AVERAGE(12.2,12.7,10.9,10.2)</f>
        <v>11.5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3</v>
      </c>
      <c r="Y78" s="4">
        <v>0</v>
      </c>
      <c r="Z78" s="4">
        <v>0</v>
      </c>
      <c r="AA78" s="4">
        <v>0</v>
      </c>
      <c r="AB78" s="4">
        <v>1</v>
      </c>
      <c r="AC78" s="4">
        <v>70</v>
      </c>
      <c r="AD78" s="4">
        <v>18</v>
      </c>
      <c r="AE78" s="4">
        <v>5</v>
      </c>
      <c r="AF78" s="4">
        <v>0</v>
      </c>
      <c r="AG78" s="4">
        <v>1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1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</row>
    <row r="79" spans="1:58" x14ac:dyDescent="0.25">
      <c r="A79" s="4" t="s">
        <v>74</v>
      </c>
      <c r="B79" s="4">
        <v>12</v>
      </c>
      <c r="C79" s="4">
        <v>40</v>
      </c>
      <c r="D79" s="4">
        <f>AVERAGE(19,12.7,27.6,19.6)</f>
        <v>19.725000000000001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40</v>
      </c>
      <c r="Y79" s="4">
        <v>0</v>
      </c>
      <c r="Z79" s="4">
        <v>0</v>
      </c>
      <c r="AA79" s="4">
        <v>5</v>
      </c>
      <c r="AB79" s="4">
        <v>0</v>
      </c>
      <c r="AC79" s="4">
        <v>53</v>
      </c>
      <c r="AD79" s="4">
        <v>2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</row>
    <row r="80" spans="1:58" x14ac:dyDescent="0.25">
      <c r="A80" s="4" t="s">
        <v>75</v>
      </c>
      <c r="B80" s="4">
        <v>14</v>
      </c>
      <c r="C80" s="4">
        <v>40</v>
      </c>
      <c r="D80" s="4">
        <f>AVERAGE(19.6,18.6,12.5,8.7)</f>
        <v>14.850000000000001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29</v>
      </c>
      <c r="Y80" s="4">
        <v>0</v>
      </c>
      <c r="Z80" s="4">
        <v>0</v>
      </c>
      <c r="AA80" s="4">
        <v>0</v>
      </c>
      <c r="AB80" s="4">
        <v>3</v>
      </c>
      <c r="AC80" s="4">
        <v>58</v>
      </c>
      <c r="AD80" s="4">
        <v>9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1</v>
      </c>
    </row>
    <row r="81" spans="1:58" x14ac:dyDescent="0.25">
      <c r="A81" s="4" t="s">
        <v>76</v>
      </c>
      <c r="B81" s="4">
        <v>11</v>
      </c>
      <c r="C81" s="4">
        <v>40</v>
      </c>
      <c r="D81" s="4">
        <f>AVERAGE(12.5,28.5,11.3,0)</f>
        <v>13.074999999999999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13</v>
      </c>
      <c r="Y81" s="4">
        <v>0</v>
      </c>
      <c r="Z81" s="4">
        <v>0</v>
      </c>
      <c r="AA81" s="4">
        <v>1</v>
      </c>
      <c r="AB81" s="4">
        <v>0</v>
      </c>
      <c r="AC81" s="4">
        <v>86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</row>
    <row r="82" spans="1:58" x14ac:dyDescent="0.25">
      <c r="A82" s="4" t="s">
        <v>77</v>
      </c>
      <c r="B82" s="4">
        <v>11</v>
      </c>
      <c r="C82" s="4">
        <v>40</v>
      </c>
      <c r="D82" s="4">
        <f>AVERAGE(30,21.5,7.5,17.4)</f>
        <v>19.100000000000001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7</v>
      </c>
      <c r="Y82" s="4">
        <v>0</v>
      </c>
      <c r="Z82" s="4">
        <v>0</v>
      </c>
      <c r="AA82" s="4">
        <v>3</v>
      </c>
      <c r="AB82" s="4">
        <v>0</v>
      </c>
      <c r="AC82" s="4">
        <v>90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</row>
    <row r="83" spans="1:58" x14ac:dyDescent="0.25">
      <c r="A83" s="4" t="s">
        <v>78</v>
      </c>
      <c r="B83" s="4">
        <v>12</v>
      </c>
      <c r="C83" s="4">
        <v>40</v>
      </c>
      <c r="D83" s="4">
        <f>AVERAGE(15.5,15.9,20,17.5)</f>
        <v>17.225000000000001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10</v>
      </c>
      <c r="Y83" s="4">
        <v>0</v>
      </c>
      <c r="Z83" s="4">
        <v>0</v>
      </c>
      <c r="AA83" s="4">
        <v>2</v>
      </c>
      <c r="AB83" s="4">
        <v>0</v>
      </c>
      <c r="AC83" s="4">
        <v>78</v>
      </c>
      <c r="AD83" s="4">
        <v>10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</row>
    <row r="84" spans="1:58" x14ac:dyDescent="0.25">
      <c r="A84" s="4" t="s">
        <v>79</v>
      </c>
      <c r="B84" s="4">
        <v>13</v>
      </c>
      <c r="C84" s="4">
        <v>40</v>
      </c>
      <c r="D84" s="4">
        <f>AVERAGE(19.2,25.7,30.6,20.5)</f>
        <v>24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14</v>
      </c>
      <c r="Y84" s="4">
        <v>0</v>
      </c>
      <c r="Z84" s="4">
        <v>0</v>
      </c>
      <c r="AA84" s="4">
        <v>8</v>
      </c>
      <c r="AB84" s="4">
        <v>51</v>
      </c>
      <c r="AC84" s="4">
        <v>27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</row>
    <row r="85" spans="1:58" x14ac:dyDescent="0.25">
      <c r="A85" s="4" t="s">
        <v>80</v>
      </c>
      <c r="B85" s="4">
        <v>12</v>
      </c>
      <c r="C85" s="4">
        <v>40</v>
      </c>
      <c r="D85" s="4">
        <f>AVERAGE(8.3,16.5,14.5,9.6)</f>
        <v>12.225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33</v>
      </c>
      <c r="Y85" s="4">
        <v>0</v>
      </c>
      <c r="Z85" s="4">
        <v>0</v>
      </c>
      <c r="AA85" s="4">
        <v>8</v>
      </c>
      <c r="AB85" s="4">
        <v>16</v>
      </c>
      <c r="AC85" s="4">
        <v>41</v>
      </c>
      <c r="AD85" s="4">
        <v>1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1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</row>
    <row r="86" spans="1:58" x14ac:dyDescent="0.25">
      <c r="A86" s="4" t="s">
        <v>81</v>
      </c>
      <c r="B86" s="4">
        <v>12</v>
      </c>
      <c r="C86" s="4">
        <v>40</v>
      </c>
      <c r="D86" s="4">
        <f>AVERAGE(10.2,8.6,11.8,17)</f>
        <v>11.899999999999999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9</v>
      </c>
      <c r="Y86" s="4">
        <v>0</v>
      </c>
      <c r="Z86" s="4">
        <v>0</v>
      </c>
      <c r="AA86" s="4">
        <v>7</v>
      </c>
      <c r="AB86" s="4">
        <v>0</v>
      </c>
      <c r="AC86" s="4">
        <v>44</v>
      </c>
      <c r="AD86" s="4">
        <v>35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2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1</v>
      </c>
      <c r="AR86" s="4">
        <v>0</v>
      </c>
      <c r="AS86" s="4">
        <v>2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</row>
    <row r="87" spans="1:58" x14ac:dyDescent="0.25">
      <c r="A87" s="4" t="s">
        <v>82</v>
      </c>
      <c r="B87" s="4">
        <v>14</v>
      </c>
      <c r="C87" s="4">
        <v>40</v>
      </c>
      <c r="D87" s="4">
        <f>AVERAGE(13.1,9,11.2,17.2)</f>
        <v>12.625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30</v>
      </c>
      <c r="Y87" s="4">
        <v>0</v>
      </c>
      <c r="Z87" s="4">
        <v>0</v>
      </c>
      <c r="AA87" s="4">
        <v>8</v>
      </c>
      <c r="AB87" s="4">
        <v>0</v>
      </c>
      <c r="AC87" s="4">
        <v>59</v>
      </c>
      <c r="AD87" s="4">
        <v>3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</row>
    <row r="88" spans="1:58" x14ac:dyDescent="0.25">
      <c r="A88" s="4" t="s">
        <v>83</v>
      </c>
      <c r="B88" s="4">
        <v>15</v>
      </c>
      <c r="C88" s="4">
        <v>40</v>
      </c>
      <c r="D88" s="4">
        <f>AVERAGE(14.5,20,0,15)</f>
        <v>12.375</v>
      </c>
      <c r="E88" s="4">
        <v>1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52</v>
      </c>
      <c r="Y88" s="4">
        <v>0</v>
      </c>
      <c r="Z88" s="4">
        <v>0</v>
      </c>
      <c r="AA88" s="4">
        <v>2</v>
      </c>
      <c r="AB88" s="4">
        <v>0</v>
      </c>
      <c r="AC88" s="4">
        <v>40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6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</row>
    <row r="89" spans="1:58" x14ac:dyDescent="0.25">
      <c r="A89" s="4" t="s">
        <v>84</v>
      </c>
      <c r="B89" s="4">
        <v>15</v>
      </c>
      <c r="C89" s="4">
        <v>40</v>
      </c>
      <c r="D89" s="4">
        <f>AVERAGE(12,6.5,18.5,17.1)</f>
        <v>13.525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19</v>
      </c>
      <c r="Y89" s="4">
        <v>0</v>
      </c>
      <c r="Z89" s="4">
        <v>0</v>
      </c>
      <c r="AA89" s="4">
        <v>6</v>
      </c>
      <c r="AB89" s="4">
        <v>0</v>
      </c>
      <c r="AC89" s="4">
        <v>55</v>
      </c>
      <c r="AD89" s="4">
        <v>20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</row>
    <row r="90" spans="1:58" x14ac:dyDescent="0.25">
      <c r="A90" s="4" t="s">
        <v>85</v>
      </c>
      <c r="B90" s="4">
        <v>16</v>
      </c>
      <c r="C90" s="4">
        <v>40</v>
      </c>
      <c r="D90" s="4">
        <f>AVERAGE(14,22.2,15.9,13.2)</f>
        <v>16.324999999999999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3</v>
      </c>
      <c r="Y90" s="4">
        <v>0</v>
      </c>
      <c r="Z90" s="4">
        <v>0</v>
      </c>
      <c r="AA90" s="4">
        <v>10</v>
      </c>
      <c r="AB90" s="4">
        <v>47</v>
      </c>
      <c r="AC90" s="4">
        <v>20</v>
      </c>
      <c r="AD90" s="4">
        <v>19</v>
      </c>
      <c r="AE90" s="4">
        <v>0</v>
      </c>
      <c r="AF90" s="4">
        <v>1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</row>
    <row r="91" spans="1:58" x14ac:dyDescent="0.25">
      <c r="A91" s="4" t="s">
        <v>86</v>
      </c>
      <c r="B91" s="4">
        <v>15</v>
      </c>
      <c r="C91" s="4">
        <v>40</v>
      </c>
      <c r="D91" s="4">
        <f>AVERAGE(8.3,12.6,32,20.1)</f>
        <v>18.25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7</v>
      </c>
      <c r="Y91" s="4">
        <v>0</v>
      </c>
      <c r="Z91" s="4">
        <v>0</v>
      </c>
      <c r="AA91" s="4">
        <v>0</v>
      </c>
      <c r="AB91" s="4">
        <v>0</v>
      </c>
      <c r="AC91" s="4">
        <v>68</v>
      </c>
      <c r="AD91" s="4">
        <v>0</v>
      </c>
      <c r="AE91" s="4">
        <v>0</v>
      </c>
      <c r="AF91" s="4">
        <v>25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</row>
    <row r="92" spans="1:58" x14ac:dyDescent="0.25">
      <c r="A92" s="4" t="s">
        <v>87</v>
      </c>
      <c r="B92" s="4">
        <v>5</v>
      </c>
      <c r="C92" s="4">
        <v>220</v>
      </c>
      <c r="D92" s="4">
        <f>AVERAGE(16.5,41.8,18.2,0)</f>
        <v>19.125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30</v>
      </c>
      <c r="Y92" s="4">
        <v>0</v>
      </c>
      <c r="Z92" s="4">
        <v>0</v>
      </c>
      <c r="AA92" s="4">
        <v>3</v>
      </c>
      <c r="AB92" s="4">
        <v>0</v>
      </c>
      <c r="AC92" s="4">
        <v>26</v>
      </c>
      <c r="AD92" s="4">
        <v>41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</row>
    <row r="93" spans="1:58" x14ac:dyDescent="0.25">
      <c r="A93" s="4" t="s">
        <v>88</v>
      </c>
      <c r="B93" s="4">
        <v>9</v>
      </c>
      <c r="C93" s="4">
        <v>250</v>
      </c>
      <c r="D93" s="4">
        <f>AVERAGE(9.5,10.4,20.7,13.1)</f>
        <v>13.424999999999999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67</v>
      </c>
      <c r="Y93" s="4">
        <v>0</v>
      </c>
      <c r="Z93" s="4">
        <v>0</v>
      </c>
      <c r="AA93" s="4">
        <v>2</v>
      </c>
      <c r="AB93" s="4">
        <v>0</v>
      </c>
      <c r="AC93" s="4">
        <v>22</v>
      </c>
      <c r="AD93" s="4">
        <v>7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2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</row>
    <row r="94" spans="1:58" x14ac:dyDescent="0.25">
      <c r="A94" s="4" t="s">
        <v>89</v>
      </c>
      <c r="B94" s="4">
        <v>11</v>
      </c>
      <c r="C94" s="4">
        <v>242</v>
      </c>
      <c r="D94" s="4">
        <f>AVERAGE(8.4,27.2,17.4,21)</f>
        <v>18.5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29</v>
      </c>
      <c r="Y94" s="4">
        <v>0</v>
      </c>
      <c r="Z94" s="4">
        <v>0</v>
      </c>
      <c r="AA94" s="4">
        <v>8</v>
      </c>
      <c r="AB94" s="4">
        <v>0</v>
      </c>
      <c r="AC94" s="4">
        <v>34</v>
      </c>
      <c r="AD94" s="4">
        <v>37</v>
      </c>
      <c r="AE94" s="4">
        <v>0</v>
      </c>
      <c r="AF94" s="4">
        <v>0</v>
      </c>
      <c r="AG94" s="4">
        <v>2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</row>
    <row r="95" spans="1:58" x14ac:dyDescent="0.25">
      <c r="A95" s="4" t="s">
        <v>90</v>
      </c>
      <c r="B95" s="4">
        <v>10</v>
      </c>
      <c r="C95" s="4">
        <v>242</v>
      </c>
      <c r="D95" s="4">
        <f>AVERAGE(22.7,8.5,25,25.5)</f>
        <v>20.425000000000001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15</v>
      </c>
      <c r="Y95" s="4">
        <v>0</v>
      </c>
      <c r="Z95" s="4">
        <v>0</v>
      </c>
      <c r="AA95" s="4">
        <v>9</v>
      </c>
      <c r="AB95" s="4">
        <v>0</v>
      </c>
      <c r="AC95" s="4">
        <v>58</v>
      </c>
      <c r="AD95" s="4">
        <v>18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</row>
    <row r="96" spans="1:58" x14ac:dyDescent="0.25">
      <c r="A96" s="4" t="s">
        <v>91</v>
      </c>
      <c r="B96" s="4">
        <v>14</v>
      </c>
      <c r="C96" s="4">
        <v>242</v>
      </c>
      <c r="D96" s="4">
        <f>AVERAGE(23.5,10,9.5,12.5)</f>
        <v>13.875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19</v>
      </c>
      <c r="Y96" s="4">
        <v>0</v>
      </c>
      <c r="Z96" s="4">
        <v>0</v>
      </c>
      <c r="AA96" s="4">
        <v>1</v>
      </c>
      <c r="AB96" s="4">
        <v>0</v>
      </c>
      <c r="AC96" s="4">
        <v>74</v>
      </c>
      <c r="AD96" s="4">
        <v>6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</row>
    <row r="97" spans="1:58" x14ac:dyDescent="0.25">
      <c r="A97" s="4" t="s">
        <v>92</v>
      </c>
      <c r="B97" s="4">
        <v>14</v>
      </c>
      <c r="C97" s="4">
        <v>240</v>
      </c>
      <c r="D97" s="4">
        <f>AVERAGE(27.8,41,35,14.5)</f>
        <v>29.574999999999999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37</v>
      </c>
      <c r="Y97" s="4">
        <v>0</v>
      </c>
      <c r="Z97" s="4">
        <v>0</v>
      </c>
      <c r="AA97" s="4">
        <v>8</v>
      </c>
      <c r="AB97" s="4">
        <v>1</v>
      </c>
      <c r="AC97" s="4">
        <v>36</v>
      </c>
      <c r="AD97" s="4">
        <v>17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1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</row>
    <row r="98" spans="1:58" x14ac:dyDescent="0.25">
      <c r="A98" s="4" t="s">
        <v>93</v>
      </c>
      <c r="B98" s="4">
        <v>10</v>
      </c>
      <c r="C98" s="4">
        <v>252</v>
      </c>
      <c r="D98" s="4">
        <f>AVERAGE(15.7,20.3,30.3,11.2)</f>
        <v>19.375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28</v>
      </c>
      <c r="Y98" s="4">
        <v>0</v>
      </c>
      <c r="Z98" s="4">
        <v>0</v>
      </c>
      <c r="AA98" s="4">
        <v>5</v>
      </c>
      <c r="AB98" s="4">
        <v>0</v>
      </c>
      <c r="AC98" s="4">
        <v>59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8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</row>
    <row r="99" spans="1:58" x14ac:dyDescent="0.25">
      <c r="A99" s="4" t="s">
        <v>94</v>
      </c>
      <c r="B99" s="4">
        <v>12</v>
      </c>
      <c r="C99" s="4">
        <v>248</v>
      </c>
      <c r="D99" s="4">
        <f>AVERAGE(5,15.5,19.4,14.1)</f>
        <v>13.5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25</v>
      </c>
      <c r="Y99" s="4">
        <v>0</v>
      </c>
      <c r="Z99" s="4">
        <v>0</v>
      </c>
      <c r="AA99" s="4">
        <v>2</v>
      </c>
      <c r="AB99" s="4">
        <v>4</v>
      </c>
      <c r="AC99" s="4">
        <v>45</v>
      </c>
      <c r="AD99" s="4">
        <v>24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</row>
    <row r="100" spans="1:58" x14ac:dyDescent="0.25">
      <c r="A100" s="4" t="s">
        <v>95</v>
      </c>
      <c r="B100" s="4">
        <v>12</v>
      </c>
      <c r="C100" s="4">
        <v>244</v>
      </c>
      <c r="D100" s="4">
        <f>AVERAGE(12.5,0,25.1,13.5)</f>
        <v>12.775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39</v>
      </c>
      <c r="Y100" s="4">
        <v>2</v>
      </c>
      <c r="Z100" s="4">
        <v>0</v>
      </c>
      <c r="AA100" s="4">
        <v>9</v>
      </c>
      <c r="AB100" s="4">
        <v>1</v>
      </c>
      <c r="AC100" s="4">
        <v>42</v>
      </c>
      <c r="AD100" s="4">
        <v>3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4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</row>
    <row r="101" spans="1:58" x14ac:dyDescent="0.25">
      <c r="A101" s="4" t="s">
        <v>96</v>
      </c>
      <c r="B101" s="4">
        <v>14</v>
      </c>
      <c r="C101" s="4">
        <v>230</v>
      </c>
      <c r="D101" s="4">
        <f>AVERAGE(13.9,17.1,18.3,20.8)</f>
        <v>17.524999999999999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41</v>
      </c>
      <c r="Y101" s="4">
        <v>0</v>
      </c>
      <c r="Z101" s="4">
        <v>0</v>
      </c>
      <c r="AA101" s="4">
        <v>9</v>
      </c>
      <c r="AB101" s="4">
        <v>32</v>
      </c>
      <c r="AC101" s="4">
        <v>9</v>
      </c>
      <c r="AD101" s="4">
        <v>9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</row>
    <row r="102" spans="1:58" x14ac:dyDescent="0.25">
      <c r="A102" s="4" t="s">
        <v>97</v>
      </c>
      <c r="B102" s="4">
        <v>15</v>
      </c>
      <c r="C102" s="4">
        <v>220</v>
      </c>
      <c r="D102" s="4">
        <f>AVERAGE(23.3,29.5,29.9,0)</f>
        <v>20.674999999999997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58</v>
      </c>
      <c r="Y102" s="4">
        <v>0</v>
      </c>
      <c r="Z102" s="4">
        <v>0</v>
      </c>
      <c r="AA102" s="4">
        <v>0</v>
      </c>
      <c r="AB102" s="4">
        <v>0</v>
      </c>
      <c r="AC102" s="4">
        <v>39</v>
      </c>
      <c r="AD102" s="4">
        <v>3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</row>
    <row r="103" spans="1:58" x14ac:dyDescent="0.25">
      <c r="A103" s="4" t="s">
        <v>98</v>
      </c>
      <c r="B103" s="4">
        <v>15</v>
      </c>
      <c r="C103" s="4">
        <v>220</v>
      </c>
      <c r="D103" s="4">
        <f>AVERAGE(12.1,0,33,25.2)</f>
        <v>17.574999999999999</v>
      </c>
      <c r="E103" s="4">
        <v>0</v>
      </c>
      <c r="F103" s="4">
        <v>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14</v>
      </c>
      <c r="Y103" s="4">
        <v>0</v>
      </c>
      <c r="Z103" s="4">
        <v>0</v>
      </c>
      <c r="AA103" s="4">
        <v>0</v>
      </c>
      <c r="AB103" s="4">
        <v>0</v>
      </c>
      <c r="AC103" s="4">
        <v>73</v>
      </c>
      <c r="AD103" s="4">
        <v>0</v>
      </c>
      <c r="AE103" s="4">
        <v>0</v>
      </c>
      <c r="AF103" s="4">
        <v>0</v>
      </c>
      <c r="AG103" s="4">
        <v>3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</row>
    <row r="104" spans="1:58" x14ac:dyDescent="0.25">
      <c r="A104" s="4" t="s">
        <v>99</v>
      </c>
      <c r="B104" s="4">
        <v>20</v>
      </c>
      <c r="C104" s="4">
        <v>220</v>
      </c>
      <c r="D104" s="4">
        <f>AVERAGE(16.9,19.2,24.2,20.7)</f>
        <v>20.25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90</v>
      </c>
      <c r="Y104" s="4">
        <v>0</v>
      </c>
      <c r="Z104" s="4">
        <v>0</v>
      </c>
      <c r="AA104" s="4">
        <v>0</v>
      </c>
      <c r="AB104" s="4">
        <v>0</v>
      </c>
      <c r="AC104" s="4">
        <v>10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</row>
    <row r="105" spans="1:58" x14ac:dyDescent="0.25">
      <c r="A105" s="4" t="s">
        <v>100</v>
      </c>
      <c r="B105" s="4">
        <v>8</v>
      </c>
      <c r="C105" s="4">
        <v>52</v>
      </c>
      <c r="D105" s="4">
        <f>AVERAGE(7.5,29.2,42,19.8)</f>
        <v>24.625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20</v>
      </c>
      <c r="Y105" s="4">
        <v>0</v>
      </c>
      <c r="Z105" s="4">
        <v>0</v>
      </c>
      <c r="AA105" s="4">
        <v>0</v>
      </c>
      <c r="AB105" s="4">
        <v>0</v>
      </c>
      <c r="AC105" s="4">
        <v>55</v>
      </c>
      <c r="AD105" s="4">
        <v>25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</row>
    <row r="106" spans="1:58" x14ac:dyDescent="0.25">
      <c r="A106" s="4" t="s">
        <v>101</v>
      </c>
      <c r="B106" s="4">
        <v>11</v>
      </c>
      <c r="C106" s="4">
        <v>48</v>
      </c>
      <c r="D106" s="4">
        <f>AVERAGE(20.4,39,48,16.2)</f>
        <v>30.900000000000002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7</v>
      </c>
      <c r="Y106" s="4">
        <v>0</v>
      </c>
      <c r="Z106" s="4">
        <v>0</v>
      </c>
      <c r="AA106" s="4">
        <v>13</v>
      </c>
      <c r="AB106" s="4">
        <v>15</v>
      </c>
      <c r="AC106" s="4">
        <v>65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</row>
    <row r="107" spans="1:58" x14ac:dyDescent="0.25">
      <c r="A107" s="4" t="s">
        <v>102</v>
      </c>
      <c r="B107" s="4">
        <v>11</v>
      </c>
      <c r="C107" s="4">
        <v>52</v>
      </c>
      <c r="D107" s="4">
        <f>AVERAGE(23.5,29,14.8,26.7)</f>
        <v>23.5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16</v>
      </c>
      <c r="Y107" s="4">
        <v>0</v>
      </c>
      <c r="Z107" s="4">
        <v>0</v>
      </c>
      <c r="AA107" s="4">
        <v>0</v>
      </c>
      <c r="AB107" s="4">
        <v>0</v>
      </c>
      <c r="AC107" s="4">
        <v>68</v>
      </c>
      <c r="AD107" s="4">
        <v>16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</row>
    <row r="108" spans="1:58" x14ac:dyDescent="0.25">
      <c r="A108" s="4" t="s">
        <v>103</v>
      </c>
      <c r="B108" s="4">
        <v>12</v>
      </c>
      <c r="C108" s="4">
        <v>38</v>
      </c>
      <c r="D108" s="4">
        <f>AVERAGE(23,17.5,42,22)</f>
        <v>26.125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15</v>
      </c>
      <c r="Y108" s="4">
        <v>0</v>
      </c>
      <c r="Z108" s="4">
        <v>0</v>
      </c>
      <c r="AA108" s="4">
        <v>3</v>
      </c>
      <c r="AB108" s="4">
        <v>0</v>
      </c>
      <c r="AC108" s="4">
        <v>72</v>
      </c>
      <c r="AD108" s="4">
        <v>10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</row>
    <row r="109" spans="1:58" x14ac:dyDescent="0.25">
      <c r="A109" s="4" t="s">
        <v>104</v>
      </c>
      <c r="B109" s="4">
        <v>12</v>
      </c>
      <c r="C109" s="4">
        <v>56</v>
      </c>
      <c r="D109" s="4">
        <f>AVERAGE(7.1,20.5,30.2,46)</f>
        <v>25.95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14</v>
      </c>
      <c r="Y109" s="4">
        <v>0</v>
      </c>
      <c r="Z109" s="4">
        <v>0</v>
      </c>
      <c r="AA109" s="4">
        <v>9</v>
      </c>
      <c r="AB109" s="4">
        <v>33</v>
      </c>
      <c r="AC109" s="4">
        <v>36</v>
      </c>
      <c r="AD109" s="4">
        <v>8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</row>
    <row r="110" spans="1:58" x14ac:dyDescent="0.25">
      <c r="A110" s="4" t="s">
        <v>105</v>
      </c>
      <c r="B110" s="4">
        <v>12</v>
      </c>
      <c r="C110" s="4">
        <v>50</v>
      </c>
      <c r="D110" s="4">
        <f>AVERAGE(19.5,30.1,19.1,31)</f>
        <v>24.925000000000001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11</v>
      </c>
      <c r="Y110" s="4">
        <v>0</v>
      </c>
      <c r="Z110" s="4">
        <v>0</v>
      </c>
      <c r="AA110" s="4">
        <v>4</v>
      </c>
      <c r="AB110" s="4">
        <v>6</v>
      </c>
      <c r="AC110" s="4">
        <v>79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</row>
    <row r="111" spans="1:58" x14ac:dyDescent="0.25">
      <c r="A111" s="4" t="s">
        <v>106</v>
      </c>
      <c r="B111" s="4">
        <v>13</v>
      </c>
      <c r="C111" s="4">
        <v>38</v>
      </c>
      <c r="D111" s="4">
        <f>AVERAGE(18.7,12.1,21.2,25)</f>
        <v>19.25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19</v>
      </c>
      <c r="Y111" s="4">
        <v>0</v>
      </c>
      <c r="Z111" s="4">
        <v>0</v>
      </c>
      <c r="AA111" s="4">
        <v>7</v>
      </c>
      <c r="AB111" s="4">
        <v>0</v>
      </c>
      <c r="AC111" s="4">
        <v>74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</row>
    <row r="112" spans="1:58" x14ac:dyDescent="0.25">
      <c r="A112" s="4" t="s">
        <v>107</v>
      </c>
      <c r="B112" s="4">
        <v>12</v>
      </c>
      <c r="C112" s="4">
        <v>46</v>
      </c>
      <c r="D112" s="4">
        <f>AVERAGE(30.5,25.1,23.1,31)</f>
        <v>27.425000000000001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53</v>
      </c>
      <c r="Y112" s="4">
        <v>0</v>
      </c>
      <c r="Z112" s="4">
        <v>0</v>
      </c>
      <c r="AA112" s="4">
        <v>0</v>
      </c>
      <c r="AB112" s="4">
        <v>0</v>
      </c>
      <c r="AC112" s="4">
        <v>47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</row>
    <row r="113" spans="1:58" x14ac:dyDescent="0.25">
      <c r="A113" s="4" t="s">
        <v>108</v>
      </c>
      <c r="B113" s="4">
        <v>14</v>
      </c>
      <c r="C113" s="4">
        <v>40</v>
      </c>
      <c r="D113" s="4">
        <f>AVERAGE(11.2,25.3,19.3,16.8)</f>
        <v>18.149999999999999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58</v>
      </c>
      <c r="Y113" s="4">
        <v>0</v>
      </c>
      <c r="Z113" s="4">
        <v>0</v>
      </c>
      <c r="AA113" s="4">
        <v>0</v>
      </c>
      <c r="AB113" s="4">
        <v>0</v>
      </c>
      <c r="AC113" s="4">
        <v>37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</row>
    <row r="114" spans="1:58" x14ac:dyDescent="0.25">
      <c r="A114" s="4" t="s">
        <v>109</v>
      </c>
      <c r="B114" s="4">
        <v>13</v>
      </c>
      <c r="C114" s="4">
        <v>40</v>
      </c>
      <c r="D114" s="4">
        <f>AVERAGE(26.5,13.4,22.7,22.1)</f>
        <v>21.174999999999997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53</v>
      </c>
      <c r="Y114" s="4">
        <v>0</v>
      </c>
      <c r="Z114" s="4">
        <v>0</v>
      </c>
      <c r="AA114" s="4">
        <v>0</v>
      </c>
      <c r="AB114" s="4">
        <v>0</v>
      </c>
      <c r="AC114" s="4">
        <v>43</v>
      </c>
      <c r="AD114" s="4">
        <v>4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</row>
    <row r="115" spans="1:58" x14ac:dyDescent="0.25">
      <c r="A115" s="4" t="s">
        <v>110</v>
      </c>
      <c r="B115" s="4">
        <v>12</v>
      </c>
      <c r="C115" s="4">
        <v>38</v>
      </c>
      <c r="D115" s="4">
        <f>AVERAGE(24.6,35,22.1,14.1)</f>
        <v>23.95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8</v>
      </c>
      <c r="Y115" s="4">
        <v>0</v>
      </c>
      <c r="Z115" s="4">
        <v>0</v>
      </c>
      <c r="AA115" s="4">
        <v>0</v>
      </c>
      <c r="AB115" s="4">
        <v>0</v>
      </c>
      <c r="AC115" s="4">
        <v>83</v>
      </c>
      <c r="AD115" s="4">
        <v>3</v>
      </c>
      <c r="AE115" s="4">
        <v>0</v>
      </c>
      <c r="AF115" s="4">
        <v>6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</row>
    <row r="116" spans="1:58" x14ac:dyDescent="0.25">
      <c r="A116" s="4" t="s">
        <v>111</v>
      </c>
      <c r="B116" s="4">
        <v>15</v>
      </c>
      <c r="C116" s="4">
        <v>38</v>
      </c>
      <c r="D116" s="4">
        <f>AVERAGE(34,33,22,35)</f>
        <v>31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48</v>
      </c>
      <c r="Y116" s="4">
        <v>0</v>
      </c>
      <c r="Z116" s="4">
        <v>0</v>
      </c>
      <c r="AA116" s="4">
        <v>0</v>
      </c>
      <c r="AB116" s="4">
        <v>0</v>
      </c>
      <c r="AC116" s="4">
        <v>52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</row>
    <row r="117" spans="1:58" x14ac:dyDescent="0.25">
      <c r="A117" s="4" t="s">
        <v>112</v>
      </c>
      <c r="B117" s="4">
        <v>16</v>
      </c>
      <c r="C117" s="4">
        <v>28</v>
      </c>
      <c r="D117" s="4">
        <f>AVERAGE(19.2,28,22.9,22.3)</f>
        <v>23.099999999999998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41</v>
      </c>
      <c r="Y117" s="4">
        <v>0</v>
      </c>
      <c r="Z117" s="4">
        <v>0</v>
      </c>
      <c r="AA117" s="4">
        <v>0</v>
      </c>
      <c r="AB117" s="4">
        <v>0</v>
      </c>
      <c r="AC117" s="4">
        <v>49</v>
      </c>
      <c r="AD117" s="4">
        <v>10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</row>
    <row r="118" spans="1:58" x14ac:dyDescent="0.25">
      <c r="A118" s="4" t="s">
        <v>113</v>
      </c>
      <c r="B118" s="4">
        <v>13</v>
      </c>
      <c r="C118" s="4">
        <v>38</v>
      </c>
      <c r="D118" s="4">
        <f>AVERAGE(40,43,20,26)</f>
        <v>32.25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1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13</v>
      </c>
      <c r="Y118" s="4">
        <v>0</v>
      </c>
      <c r="Z118" s="4">
        <v>0</v>
      </c>
      <c r="AA118" s="4">
        <v>0</v>
      </c>
      <c r="AB118" s="4">
        <v>1</v>
      </c>
      <c r="AC118" s="4">
        <v>72</v>
      </c>
      <c r="AD118" s="4">
        <v>14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</row>
    <row r="119" spans="1:58" x14ac:dyDescent="0.25">
      <c r="A119" s="4" t="s">
        <v>114</v>
      </c>
      <c r="B119" s="4">
        <v>8</v>
      </c>
      <c r="C119" s="4">
        <v>50</v>
      </c>
      <c r="D119" s="4">
        <f>AVERAGE(20,29.1,19,28)</f>
        <v>24.024999999999999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8</v>
      </c>
      <c r="Y119" s="4">
        <v>0</v>
      </c>
      <c r="Z119" s="4">
        <v>0</v>
      </c>
      <c r="AA119" s="4">
        <v>15</v>
      </c>
      <c r="AB119" s="4">
        <v>0</v>
      </c>
      <c r="AC119" s="4">
        <v>75</v>
      </c>
      <c r="AD119" s="4">
        <v>2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</row>
    <row r="120" spans="1:58" x14ac:dyDescent="0.25">
      <c r="A120" s="4" t="s">
        <v>115</v>
      </c>
      <c r="B120" s="4">
        <v>8</v>
      </c>
      <c r="C120" s="4">
        <v>62</v>
      </c>
      <c r="D120" s="4">
        <f>AVERAGE(26.5,40,33,18.1)</f>
        <v>29.4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7</v>
      </c>
      <c r="Y120" s="4">
        <v>0</v>
      </c>
      <c r="Z120" s="4">
        <v>0</v>
      </c>
      <c r="AA120" s="4">
        <v>0</v>
      </c>
      <c r="AB120" s="4">
        <v>0</v>
      </c>
      <c r="AC120" s="4">
        <v>51</v>
      </c>
      <c r="AD120" s="4">
        <v>42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</row>
    <row r="121" spans="1:58" x14ac:dyDescent="0.25">
      <c r="A121" s="4" t="s">
        <v>116</v>
      </c>
      <c r="B121" s="4">
        <v>8</v>
      </c>
      <c r="C121" s="4">
        <v>121</v>
      </c>
      <c r="D121" s="4">
        <f>AVERAGE(22,31,19.6,23.3)</f>
        <v>23.974999999999998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24</v>
      </c>
      <c r="Z121" s="4">
        <v>0</v>
      </c>
      <c r="AA121" s="4">
        <v>8</v>
      </c>
      <c r="AB121" s="4">
        <v>4</v>
      </c>
      <c r="AC121" s="4">
        <v>27</v>
      </c>
      <c r="AD121" s="4">
        <v>3</v>
      </c>
      <c r="AE121" s="4">
        <v>0</v>
      </c>
      <c r="AF121" s="4">
        <v>0</v>
      </c>
      <c r="AG121" s="4">
        <v>0</v>
      </c>
      <c r="AH121" s="4">
        <v>0</v>
      </c>
      <c r="AI121" s="4">
        <v>3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4">
        <v>30</v>
      </c>
      <c r="AR121" s="4">
        <v>0</v>
      </c>
      <c r="AS121" s="4">
        <v>0</v>
      </c>
      <c r="AT121" s="4">
        <v>0</v>
      </c>
      <c r="AU121" s="4">
        <v>0</v>
      </c>
      <c r="AV121" s="4">
        <v>1</v>
      </c>
      <c r="AW121" s="4">
        <v>0</v>
      </c>
      <c r="AX121" s="4">
        <v>0</v>
      </c>
      <c r="AY121" s="4">
        <v>0</v>
      </c>
      <c r="AZ121" s="4">
        <v>0</v>
      </c>
      <c r="BA121" s="4">
        <v>0</v>
      </c>
      <c r="BB121" s="4">
        <v>0</v>
      </c>
      <c r="BC121" s="4">
        <v>0</v>
      </c>
      <c r="BD121" s="4">
        <v>0</v>
      </c>
      <c r="BE121" s="4">
        <v>0</v>
      </c>
      <c r="BF121" s="4">
        <v>0</v>
      </c>
    </row>
    <row r="122" spans="1:58" x14ac:dyDescent="0.25">
      <c r="A122" s="4" t="s">
        <v>118</v>
      </c>
      <c r="B122" s="4">
        <v>11</v>
      </c>
      <c r="C122" s="4">
        <v>132</v>
      </c>
      <c r="D122" s="4">
        <f>AVERAGE(30.6,23.2,14,18.6)</f>
        <v>21.6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4</v>
      </c>
      <c r="Y122" s="4">
        <v>90</v>
      </c>
      <c r="Z122" s="4">
        <v>0</v>
      </c>
      <c r="AA122" s="4">
        <v>0</v>
      </c>
      <c r="AB122" s="4">
        <v>0</v>
      </c>
      <c r="AC122" s="4">
        <v>6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</row>
    <row r="123" spans="1:58" x14ac:dyDescent="0.25">
      <c r="A123" s="4" t="s">
        <v>119</v>
      </c>
      <c r="B123" s="4">
        <v>10</v>
      </c>
      <c r="C123" s="4">
        <v>188</v>
      </c>
      <c r="D123" s="4">
        <f>AVERAGE(33,26.5,31,14.5)</f>
        <v>26.25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7</v>
      </c>
      <c r="Y123" s="4">
        <v>0</v>
      </c>
      <c r="Z123" s="4">
        <v>0</v>
      </c>
      <c r="AA123" s="4">
        <v>6</v>
      </c>
      <c r="AB123" s="4">
        <v>13</v>
      </c>
      <c r="AC123" s="4">
        <v>74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</row>
    <row r="124" spans="1:58" x14ac:dyDescent="0.25">
      <c r="A124" s="4" t="s">
        <v>120</v>
      </c>
      <c r="B124" s="4">
        <v>17</v>
      </c>
      <c r="C124" s="4">
        <v>212</v>
      </c>
      <c r="D124" s="4">
        <f>AVERAGE(21.9,17.6,28.5,19.5)</f>
        <v>21.875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8</v>
      </c>
      <c r="Y124" s="4">
        <v>32</v>
      </c>
      <c r="Z124" s="4">
        <v>0</v>
      </c>
      <c r="AA124" s="4">
        <v>10</v>
      </c>
      <c r="AB124" s="4">
        <v>13</v>
      </c>
      <c r="AC124" s="4">
        <v>30</v>
      </c>
      <c r="AD124" s="4">
        <v>0</v>
      </c>
      <c r="AE124" s="4">
        <v>0</v>
      </c>
      <c r="AF124" s="4">
        <v>0</v>
      </c>
      <c r="AG124" s="4">
        <v>4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1</v>
      </c>
      <c r="AR124" s="4">
        <v>0</v>
      </c>
      <c r="AS124" s="4">
        <v>0</v>
      </c>
      <c r="AT124" s="4">
        <v>0</v>
      </c>
      <c r="AU124" s="4">
        <v>0</v>
      </c>
      <c r="AV124" s="4">
        <v>1</v>
      </c>
      <c r="AW124" s="4">
        <v>0</v>
      </c>
      <c r="AX124" s="4">
        <v>0</v>
      </c>
      <c r="AY124" s="4">
        <v>0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</row>
    <row r="125" spans="1:58" x14ac:dyDescent="0.25">
      <c r="A125" s="4" t="s">
        <v>121</v>
      </c>
      <c r="B125" s="4">
        <v>14</v>
      </c>
      <c r="C125" s="4">
        <v>202</v>
      </c>
      <c r="D125" s="4">
        <f>AVERAGE(17,26.5,24,25)</f>
        <v>23.125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34</v>
      </c>
      <c r="Y125" s="4">
        <v>0</v>
      </c>
      <c r="Z125" s="4">
        <v>0</v>
      </c>
      <c r="AA125" s="4">
        <v>6</v>
      </c>
      <c r="AB125" s="4">
        <v>30</v>
      </c>
      <c r="AC125" s="4">
        <v>30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</row>
    <row r="126" spans="1:58" x14ac:dyDescent="0.25">
      <c r="A126" s="4" t="s">
        <v>122</v>
      </c>
      <c r="B126" s="4">
        <v>13</v>
      </c>
      <c r="C126" s="4">
        <v>200</v>
      </c>
      <c r="D126" s="4">
        <f>AVERAGE(13.7,13.7,12,14.6)</f>
        <v>13.5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19</v>
      </c>
      <c r="Y126" s="4">
        <v>0</v>
      </c>
      <c r="Z126" s="4">
        <v>0</v>
      </c>
      <c r="AA126" s="4">
        <v>1</v>
      </c>
      <c r="AB126" s="4">
        <v>78</v>
      </c>
      <c r="AC126" s="4">
        <v>2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</row>
    <row r="127" spans="1:58" x14ac:dyDescent="0.25">
      <c r="A127" s="4" t="s">
        <v>123</v>
      </c>
      <c r="B127" s="4">
        <v>16</v>
      </c>
      <c r="C127" s="4">
        <v>166</v>
      </c>
      <c r="D127" s="4">
        <f>AVERAGE(23,25,26,26.4)</f>
        <v>25.1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18</v>
      </c>
      <c r="Y127" s="4">
        <v>68</v>
      </c>
      <c r="Z127" s="4">
        <v>0</v>
      </c>
      <c r="AA127" s="4">
        <v>0</v>
      </c>
      <c r="AB127" s="4">
        <v>6</v>
      </c>
      <c r="AC127" s="4">
        <v>3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</row>
    <row r="128" spans="1:58" x14ac:dyDescent="0.25">
      <c r="A128" s="4" t="s">
        <v>124</v>
      </c>
      <c r="B128" s="4">
        <v>18</v>
      </c>
      <c r="C128" s="4">
        <v>208</v>
      </c>
      <c r="D128" s="4">
        <f>AVERAGE(17.2,24,19.1,25)</f>
        <v>21.325000000000003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13</v>
      </c>
      <c r="Y128" s="4">
        <v>10</v>
      </c>
      <c r="Z128" s="4">
        <v>0</v>
      </c>
      <c r="AA128" s="4">
        <v>0</v>
      </c>
      <c r="AB128" s="4">
        <v>75</v>
      </c>
      <c r="AC128" s="4">
        <v>2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</row>
    <row r="129" spans="1:58" x14ac:dyDescent="0.25">
      <c r="A129" s="4" t="s">
        <v>125</v>
      </c>
      <c r="B129" s="4">
        <v>26</v>
      </c>
      <c r="C129" s="4">
        <v>172</v>
      </c>
      <c r="D129" s="4">
        <f>AVERAGE(52,22.1,25,37.1)</f>
        <v>34.049999999999997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1</v>
      </c>
      <c r="X129" s="4">
        <v>52</v>
      </c>
      <c r="Y129" s="4">
        <v>0</v>
      </c>
      <c r="Z129" s="4">
        <v>0</v>
      </c>
      <c r="AA129" s="4">
        <v>0</v>
      </c>
      <c r="AB129" s="4">
        <v>0</v>
      </c>
      <c r="AC129" s="4">
        <v>47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</row>
    <row r="130" spans="1:58" x14ac:dyDescent="0.25">
      <c r="A130" s="4" t="s">
        <v>126</v>
      </c>
      <c r="B130" s="4">
        <v>10</v>
      </c>
      <c r="C130" s="4">
        <v>144</v>
      </c>
      <c r="D130" s="4">
        <f>AVERAGE(15.2,51,32,22.3)</f>
        <v>30.125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63</v>
      </c>
      <c r="Y130" s="4">
        <v>0</v>
      </c>
      <c r="Z130" s="4">
        <v>0</v>
      </c>
      <c r="AA130" s="4">
        <v>2</v>
      </c>
      <c r="AB130" s="4">
        <v>30</v>
      </c>
      <c r="AC130" s="4">
        <v>5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</row>
    <row r="131" spans="1:58" x14ac:dyDescent="0.25">
      <c r="A131" s="4" t="s">
        <v>127</v>
      </c>
      <c r="B131" s="4">
        <v>9</v>
      </c>
      <c r="C131" s="4">
        <v>160</v>
      </c>
      <c r="D131" s="4">
        <f>AVERAGE(15.2,29,30.2,31)</f>
        <v>26.35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26</v>
      </c>
      <c r="Y131" s="4">
        <v>0</v>
      </c>
      <c r="Z131" s="4">
        <v>0</v>
      </c>
      <c r="AA131" s="4">
        <v>3</v>
      </c>
      <c r="AB131" s="4">
        <v>24</v>
      </c>
      <c r="AC131" s="4">
        <v>47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</row>
    <row r="132" spans="1:58" x14ac:dyDescent="0.25">
      <c r="A132" s="4" t="s">
        <v>128</v>
      </c>
      <c r="B132" s="4">
        <v>5</v>
      </c>
      <c r="C132" s="4">
        <v>96</v>
      </c>
      <c r="D132" s="4">
        <f>AVERAGE(31.2,40.1,23.2,33)</f>
        <v>31.875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19</v>
      </c>
      <c r="Y132" s="4">
        <v>0</v>
      </c>
      <c r="Z132" s="4">
        <v>0</v>
      </c>
      <c r="AA132" s="4">
        <v>11</v>
      </c>
      <c r="AB132" s="4">
        <v>1</v>
      </c>
      <c r="AC132" s="4">
        <v>64</v>
      </c>
      <c r="AD132" s="4">
        <v>5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</row>
    <row r="133" spans="1:58" x14ac:dyDescent="0.25">
      <c r="A133" s="4" t="s">
        <v>129</v>
      </c>
      <c r="B133" s="4">
        <v>7</v>
      </c>
      <c r="C133" s="4">
        <v>112</v>
      </c>
      <c r="D133" s="4">
        <f>AVERAGE(30.2,28,35.3,17.1)</f>
        <v>27.65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34</v>
      </c>
      <c r="Y133" s="4">
        <v>0</v>
      </c>
      <c r="Z133" s="4">
        <v>0</v>
      </c>
      <c r="AA133" s="4">
        <v>4</v>
      </c>
      <c r="AB133" s="4">
        <v>0</v>
      </c>
      <c r="AC133" s="4">
        <v>62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</row>
    <row r="134" spans="1:58" x14ac:dyDescent="0.25">
      <c r="A134" s="4" t="s">
        <v>130</v>
      </c>
      <c r="B134" s="4">
        <v>9</v>
      </c>
      <c r="C134" s="4">
        <v>130</v>
      </c>
      <c r="D134" s="4">
        <f>AVERAGE(44.2,42.1,33,43)</f>
        <v>40.575000000000003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45</v>
      </c>
      <c r="Y134" s="4">
        <v>0</v>
      </c>
      <c r="Z134" s="4">
        <v>0</v>
      </c>
      <c r="AA134" s="4">
        <v>3</v>
      </c>
      <c r="AB134" s="4">
        <v>0</v>
      </c>
      <c r="AC134" s="4">
        <v>52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</row>
    <row r="135" spans="1:58" x14ac:dyDescent="0.25">
      <c r="A135" s="4" t="s">
        <v>131</v>
      </c>
      <c r="B135" s="4">
        <v>9</v>
      </c>
      <c r="C135" s="4">
        <v>108</v>
      </c>
      <c r="D135" s="4">
        <f>AVERAGE(35,30,40.2,15.2)</f>
        <v>30.1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25</v>
      </c>
      <c r="Y135" s="4">
        <v>0</v>
      </c>
      <c r="Z135" s="4">
        <v>0</v>
      </c>
      <c r="AA135" s="4">
        <v>4</v>
      </c>
      <c r="AB135" s="4">
        <v>0</v>
      </c>
      <c r="AC135" s="4">
        <v>47</v>
      </c>
      <c r="AD135" s="4">
        <v>24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</row>
    <row r="136" spans="1:58" x14ac:dyDescent="0.25">
      <c r="A136" s="4" t="s">
        <v>132</v>
      </c>
      <c r="B136" s="4">
        <v>10</v>
      </c>
      <c r="C136" s="4">
        <v>80</v>
      </c>
      <c r="D136" s="4">
        <f>AVERAGE(30.4,35,22.2,52.2)</f>
        <v>34.950000000000003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57</v>
      </c>
      <c r="Y136" s="4">
        <v>0</v>
      </c>
      <c r="Z136" s="4">
        <v>0</v>
      </c>
      <c r="AA136" s="4">
        <v>0</v>
      </c>
      <c r="AB136" s="4">
        <v>0</v>
      </c>
      <c r="AC136" s="4">
        <v>39</v>
      </c>
      <c r="AD136" s="4">
        <v>4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</row>
    <row r="137" spans="1:58" x14ac:dyDescent="0.25">
      <c r="A137" s="4" t="s">
        <v>133</v>
      </c>
      <c r="B137" s="4">
        <v>14</v>
      </c>
      <c r="C137" s="4">
        <v>96</v>
      </c>
      <c r="D137" s="4">
        <f>AVERAGE(28,40.4,30.2,48)</f>
        <v>36.650000000000006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35</v>
      </c>
      <c r="Y137" s="4">
        <v>0</v>
      </c>
      <c r="Z137" s="4">
        <v>0</v>
      </c>
      <c r="AA137" s="4">
        <v>10</v>
      </c>
      <c r="AB137" s="4">
        <v>16</v>
      </c>
      <c r="AC137" s="4">
        <v>18</v>
      </c>
      <c r="AD137" s="4">
        <v>21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</row>
    <row r="138" spans="1:58" x14ac:dyDescent="0.25">
      <c r="A138" s="4" t="s">
        <v>134</v>
      </c>
      <c r="B138" s="4">
        <v>12</v>
      </c>
      <c r="C138" s="4">
        <v>108</v>
      </c>
      <c r="D138" s="4">
        <f>AVERAGE(29.1,20.2,43.3,41.4)</f>
        <v>33.5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77</v>
      </c>
      <c r="Y138" s="4">
        <v>0</v>
      </c>
      <c r="Z138" s="4">
        <v>0</v>
      </c>
      <c r="AA138" s="4">
        <v>4</v>
      </c>
      <c r="AB138" s="4">
        <v>0</v>
      </c>
      <c r="AC138" s="4">
        <v>17</v>
      </c>
      <c r="AD138" s="4">
        <v>1</v>
      </c>
      <c r="AE138" s="4">
        <v>0</v>
      </c>
      <c r="AF138" s="4">
        <v>1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</row>
    <row r="139" spans="1:58" x14ac:dyDescent="0.25">
      <c r="A139" s="4" t="s">
        <v>135</v>
      </c>
      <c r="B139" s="4">
        <v>17</v>
      </c>
      <c r="C139" s="4">
        <v>66</v>
      </c>
      <c r="D139" s="4">
        <f>AVERAGE(36,26.4,32.1,32.2)</f>
        <v>31.675000000000001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26</v>
      </c>
      <c r="Y139" s="4">
        <v>0</v>
      </c>
      <c r="Z139" s="4">
        <v>0</v>
      </c>
      <c r="AA139" s="4">
        <v>0</v>
      </c>
      <c r="AB139" s="4">
        <v>12</v>
      </c>
      <c r="AC139" s="4">
        <v>62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</row>
    <row r="140" spans="1:58" x14ac:dyDescent="0.25">
      <c r="A140" s="4" t="s">
        <v>136</v>
      </c>
      <c r="B140" s="4">
        <v>15</v>
      </c>
      <c r="C140" s="4">
        <v>74</v>
      </c>
      <c r="D140" s="4">
        <f>AVERAGE(32,48,15.3,25.5)</f>
        <v>30.2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44</v>
      </c>
      <c r="Y140" s="4">
        <v>0</v>
      </c>
      <c r="Z140" s="4">
        <v>0</v>
      </c>
      <c r="AA140" s="4">
        <v>0</v>
      </c>
      <c r="AB140" s="4">
        <v>1</v>
      </c>
      <c r="AC140" s="4">
        <v>2</v>
      </c>
      <c r="AD140" s="4">
        <v>53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</row>
    <row r="141" spans="1:58" x14ac:dyDescent="0.25">
      <c r="A141" s="4" t="s">
        <v>137</v>
      </c>
      <c r="B141" s="4">
        <v>14</v>
      </c>
      <c r="C141" s="4">
        <v>84</v>
      </c>
      <c r="D141" s="4">
        <f>AVERAGE(25.1,33.2,29.2,27.4)</f>
        <v>28.725000000000001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50</v>
      </c>
      <c r="Y141" s="4">
        <v>0</v>
      </c>
      <c r="Z141" s="4">
        <v>0</v>
      </c>
      <c r="AA141" s="4">
        <v>0</v>
      </c>
      <c r="AB141" s="4">
        <v>4</v>
      </c>
      <c r="AC141" s="4">
        <v>15</v>
      </c>
      <c r="AD141" s="4">
        <v>31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</row>
    <row r="142" spans="1:58" x14ac:dyDescent="0.25">
      <c r="A142" s="4" t="s">
        <v>138</v>
      </c>
      <c r="B142" s="4">
        <v>17</v>
      </c>
      <c r="C142" s="4">
        <v>25</v>
      </c>
      <c r="D142" s="4">
        <f>AVERAGE(27.9,25,23.9,41.2)</f>
        <v>29.5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32</v>
      </c>
      <c r="Y142" s="4">
        <v>0</v>
      </c>
      <c r="Z142" s="4">
        <v>0</v>
      </c>
      <c r="AA142" s="4">
        <v>11</v>
      </c>
      <c r="AB142" s="4">
        <v>10</v>
      </c>
      <c r="AC142" s="4">
        <v>27</v>
      </c>
      <c r="AD142" s="4">
        <v>19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4">
        <v>0</v>
      </c>
      <c r="AV142" s="4">
        <v>0</v>
      </c>
      <c r="AW142" s="4">
        <v>0</v>
      </c>
      <c r="AX142" s="4">
        <v>1</v>
      </c>
      <c r="AY142" s="4">
        <v>0</v>
      </c>
      <c r="AZ142" s="4">
        <v>0</v>
      </c>
      <c r="BA142" s="4">
        <v>0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</row>
    <row r="143" spans="1:58" x14ac:dyDescent="0.25">
      <c r="A143" s="4" t="s">
        <v>139</v>
      </c>
      <c r="B143" s="4">
        <v>16</v>
      </c>
      <c r="C143" s="4">
        <v>54</v>
      </c>
      <c r="D143" s="4">
        <f>AVERAGE(23.1,17.5,34.2,22.4)</f>
        <v>24.300000000000004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36</v>
      </c>
      <c r="Y143" s="4">
        <v>0</v>
      </c>
      <c r="Z143" s="4">
        <v>0</v>
      </c>
      <c r="AA143" s="4">
        <v>14</v>
      </c>
      <c r="AB143" s="4">
        <v>29</v>
      </c>
      <c r="AC143" s="4">
        <v>14</v>
      </c>
      <c r="AD143" s="4">
        <v>7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</row>
    <row r="144" spans="1:58" x14ac:dyDescent="0.25">
      <c r="A144" s="4" t="s">
        <v>140</v>
      </c>
      <c r="B144" s="4">
        <v>17</v>
      </c>
      <c r="C144" s="4">
        <v>64</v>
      </c>
      <c r="D144" s="4">
        <f>AVERAGE(28.7,32.1,24.6,30.1)</f>
        <v>28.875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23</v>
      </c>
      <c r="Y144" s="4">
        <v>0</v>
      </c>
      <c r="Z144" s="4">
        <v>0</v>
      </c>
      <c r="AA144" s="4">
        <v>6</v>
      </c>
      <c r="AB144" s="4">
        <v>34</v>
      </c>
      <c r="AC144" s="4">
        <v>18</v>
      </c>
      <c r="AD144" s="4">
        <v>19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</row>
    <row r="145" spans="1:58" x14ac:dyDescent="0.25">
      <c r="A145" s="4" t="s">
        <v>141</v>
      </c>
      <c r="B145" s="4">
        <v>19</v>
      </c>
      <c r="C145" s="4">
        <v>66</v>
      </c>
      <c r="D145" s="4">
        <f>AVERAGE(18.4,48,48.6,30.4)</f>
        <v>36.35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32</v>
      </c>
      <c r="Y145" s="4">
        <v>0</v>
      </c>
      <c r="Z145" s="4">
        <v>0</v>
      </c>
      <c r="AA145" s="4">
        <v>0</v>
      </c>
      <c r="AB145" s="4">
        <v>44</v>
      </c>
      <c r="AC145" s="4">
        <v>21</v>
      </c>
      <c r="AD145" s="4">
        <v>1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1</v>
      </c>
      <c r="AN145" s="4">
        <v>0</v>
      </c>
      <c r="AO145" s="4">
        <v>0</v>
      </c>
      <c r="AP145" s="4">
        <v>0</v>
      </c>
      <c r="AQ145" s="4">
        <v>1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</row>
    <row r="146" spans="1:58" x14ac:dyDescent="0.25">
      <c r="A146" s="4" t="s">
        <v>142</v>
      </c>
      <c r="B146" s="4">
        <v>23</v>
      </c>
      <c r="C146" s="4">
        <v>64</v>
      </c>
      <c r="D146" s="4">
        <f>AVERAGE(30.1,44,39.6,25.9)</f>
        <v>34.9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11</v>
      </c>
      <c r="Y146" s="4">
        <v>0</v>
      </c>
      <c r="Z146" s="4">
        <v>0</v>
      </c>
      <c r="AA146" s="4">
        <v>7</v>
      </c>
      <c r="AB146" s="4">
        <v>54</v>
      </c>
      <c r="AC146" s="4">
        <v>8</v>
      </c>
      <c r="AD146" s="4">
        <v>14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</row>
    <row r="147" spans="1:58" x14ac:dyDescent="0.25">
      <c r="A147" s="4" t="s">
        <v>143</v>
      </c>
      <c r="B147" s="4">
        <v>22</v>
      </c>
      <c r="C147" s="4">
        <v>78</v>
      </c>
      <c r="D147" s="4">
        <f>AVERAGE(34.8,22.2,31.4,51.2)</f>
        <v>34.900000000000006</v>
      </c>
      <c r="E147" s="4">
        <v>0</v>
      </c>
      <c r="F147" s="4">
        <v>0</v>
      </c>
      <c r="G147" s="4">
        <v>0</v>
      </c>
      <c r="H147" s="4">
        <v>1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1</v>
      </c>
      <c r="AC147" s="4">
        <v>70</v>
      </c>
      <c r="AD147" s="4">
        <v>19</v>
      </c>
      <c r="AE147" s="4">
        <v>0</v>
      </c>
      <c r="AF147" s="4">
        <v>2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0</v>
      </c>
      <c r="AV147" s="4">
        <v>0</v>
      </c>
      <c r="AW147" s="4">
        <v>0</v>
      </c>
      <c r="AX147" s="4">
        <v>0</v>
      </c>
      <c r="AY147" s="4">
        <v>0</v>
      </c>
      <c r="AZ147" s="4">
        <v>6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</row>
    <row r="148" spans="1:58" x14ac:dyDescent="0.25">
      <c r="A148" s="4" t="s">
        <v>144</v>
      </c>
      <c r="B148" s="4">
        <v>24</v>
      </c>
      <c r="C148" s="4">
        <v>52</v>
      </c>
      <c r="D148" s="4">
        <f>AVERAGE(29.3,33.1,35.6,34.8)</f>
        <v>33.200000000000003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1</v>
      </c>
      <c r="K148" s="4">
        <v>1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1</v>
      </c>
      <c r="Y148" s="4">
        <v>0</v>
      </c>
      <c r="Z148" s="4">
        <v>0</v>
      </c>
      <c r="AA148" s="4">
        <v>9</v>
      </c>
      <c r="AB148" s="4">
        <v>0</v>
      </c>
      <c r="AC148" s="4">
        <v>73</v>
      </c>
      <c r="AD148" s="4">
        <v>1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16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</row>
    <row r="149" spans="1:58" x14ac:dyDescent="0.25">
      <c r="A149" s="4" t="s">
        <v>146</v>
      </c>
      <c r="B149" s="4">
        <v>16</v>
      </c>
      <c r="C149" s="4">
        <v>208</v>
      </c>
      <c r="D149" s="4">
        <f>AVERAGE(16.1,16.2,16.3,18.1)</f>
        <v>16.674999999999997</v>
      </c>
      <c r="E149" s="4">
        <v>0</v>
      </c>
      <c r="F149" s="4">
        <v>0</v>
      </c>
      <c r="G149" s="4">
        <v>1</v>
      </c>
      <c r="H149" s="4">
        <v>0</v>
      </c>
      <c r="I149" s="4">
        <v>1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26</v>
      </c>
      <c r="Y149" s="4">
        <v>0</v>
      </c>
      <c r="Z149" s="4">
        <v>0</v>
      </c>
      <c r="AA149" s="4">
        <v>0</v>
      </c>
      <c r="AB149" s="4">
        <v>0</v>
      </c>
      <c r="AC149" s="4">
        <v>74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</row>
    <row r="150" spans="1:58" x14ac:dyDescent="0.25">
      <c r="A150" s="4" t="s">
        <v>147</v>
      </c>
      <c r="B150" s="4">
        <v>19</v>
      </c>
      <c r="C150" s="4">
        <v>208</v>
      </c>
      <c r="D150" s="4">
        <f>AVERAGE(31.8,17.7,29.6,35.4)</f>
        <v>28.625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74</v>
      </c>
      <c r="Y150" s="4">
        <v>0</v>
      </c>
      <c r="Z150" s="4">
        <v>0</v>
      </c>
      <c r="AA150" s="4">
        <v>0</v>
      </c>
      <c r="AB150" s="4">
        <v>0</v>
      </c>
      <c r="AC150" s="4">
        <v>26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</row>
    <row r="151" spans="1:58" x14ac:dyDescent="0.25">
      <c r="A151" s="4" t="s">
        <v>148</v>
      </c>
      <c r="B151" s="4">
        <v>11</v>
      </c>
      <c r="C151" s="4">
        <v>96</v>
      </c>
      <c r="D151" s="4">
        <f>AVERAGE(12.1,37.4,36.2,33)</f>
        <v>29.675000000000001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41</v>
      </c>
      <c r="Y151" s="4">
        <v>0</v>
      </c>
      <c r="Z151" s="4">
        <v>0</v>
      </c>
      <c r="AA151" s="4">
        <v>15</v>
      </c>
      <c r="AB151" s="4">
        <v>0</v>
      </c>
      <c r="AC151" s="4">
        <v>44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</row>
    <row r="152" spans="1:58" x14ac:dyDescent="0.25">
      <c r="A152" s="4" t="s">
        <v>149</v>
      </c>
      <c r="B152" s="4">
        <v>9</v>
      </c>
      <c r="C152" s="4">
        <v>90</v>
      </c>
      <c r="D152" s="4">
        <f>AVERAGE(30.6,17.3,16,14.1)</f>
        <v>19.5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19</v>
      </c>
      <c r="Y152" s="4">
        <v>0</v>
      </c>
      <c r="Z152" s="4">
        <v>0</v>
      </c>
      <c r="AA152" s="4">
        <v>13</v>
      </c>
      <c r="AB152" s="4">
        <v>0</v>
      </c>
      <c r="AC152" s="4">
        <v>63</v>
      </c>
      <c r="AD152" s="4">
        <v>1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2</v>
      </c>
      <c r="AR152" s="4">
        <v>0</v>
      </c>
      <c r="AS152" s="4">
        <v>0</v>
      </c>
      <c r="AT152" s="4">
        <v>0</v>
      </c>
      <c r="AU152" s="4">
        <v>0</v>
      </c>
      <c r="AV152" s="4">
        <v>2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</row>
    <row r="153" spans="1:58" x14ac:dyDescent="0.25">
      <c r="A153" s="4" t="s">
        <v>150</v>
      </c>
      <c r="B153" s="4">
        <v>10</v>
      </c>
      <c r="C153" s="4">
        <v>90</v>
      </c>
      <c r="D153" s="4">
        <f>AVERAGE(39,26.1,15,19.4)</f>
        <v>24.875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2</v>
      </c>
      <c r="W153" s="4">
        <v>0</v>
      </c>
      <c r="X153" s="4">
        <v>10</v>
      </c>
      <c r="Y153" s="4">
        <v>3</v>
      </c>
      <c r="Z153" s="4">
        <v>0</v>
      </c>
      <c r="AA153" s="4">
        <v>0</v>
      </c>
      <c r="AB153" s="4">
        <v>0</v>
      </c>
      <c r="AC153" s="4">
        <v>87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</row>
    <row r="154" spans="1:58" x14ac:dyDescent="0.25">
      <c r="A154" s="4" t="s">
        <v>151</v>
      </c>
      <c r="B154" s="4">
        <v>11</v>
      </c>
      <c r="C154" s="4">
        <v>66</v>
      </c>
      <c r="D154" s="4">
        <f>AVERAGE(14.8,28.5,14.8,31.8)</f>
        <v>22.474999999999998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35</v>
      </c>
      <c r="Y154" s="4">
        <v>46</v>
      </c>
      <c r="Z154" s="4">
        <v>0</v>
      </c>
      <c r="AA154" s="4">
        <v>7</v>
      </c>
      <c r="AB154" s="4">
        <v>0</v>
      </c>
      <c r="AC154" s="4">
        <v>9</v>
      </c>
      <c r="AD154" s="4">
        <v>3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</row>
    <row r="155" spans="1:58" x14ac:dyDescent="0.25">
      <c r="A155" s="4" t="s">
        <v>152</v>
      </c>
      <c r="B155" s="4">
        <v>14</v>
      </c>
      <c r="C155" s="4">
        <v>40</v>
      </c>
      <c r="D155" s="4">
        <f>AVERAGE(9.5,40,26.6,32.8)</f>
        <v>27.224999999999998</v>
      </c>
      <c r="E155" s="4">
        <v>0</v>
      </c>
      <c r="F155" s="4">
        <v>1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10</v>
      </c>
      <c r="Y155" s="4">
        <v>79</v>
      </c>
      <c r="Z155" s="4">
        <v>0</v>
      </c>
      <c r="AA155" s="4">
        <v>0</v>
      </c>
      <c r="AB155" s="4">
        <v>5</v>
      </c>
      <c r="AC155" s="4">
        <v>6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</row>
    <row r="156" spans="1:58" x14ac:dyDescent="0.25">
      <c r="A156" s="4" t="s">
        <v>153</v>
      </c>
      <c r="B156" s="4">
        <v>13</v>
      </c>
      <c r="C156" s="4">
        <v>50</v>
      </c>
      <c r="D156" s="4">
        <f>AVERAGE(23.6,14.7,15.2,13)</f>
        <v>16.625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44</v>
      </c>
      <c r="Y156" s="4">
        <v>0</v>
      </c>
      <c r="Z156" s="4">
        <v>0</v>
      </c>
      <c r="AA156" s="4">
        <v>8</v>
      </c>
      <c r="AB156" s="4">
        <v>0</v>
      </c>
      <c r="AC156" s="4">
        <v>38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2</v>
      </c>
      <c r="AR156" s="4">
        <v>0</v>
      </c>
      <c r="AS156" s="4">
        <v>0</v>
      </c>
      <c r="AT156" s="4">
        <v>0</v>
      </c>
      <c r="AU156" s="4">
        <v>0</v>
      </c>
      <c r="AV156" s="4">
        <v>2</v>
      </c>
      <c r="AW156" s="4">
        <v>0</v>
      </c>
      <c r="AX156" s="4">
        <v>1</v>
      </c>
      <c r="AY156" s="4">
        <v>0</v>
      </c>
      <c r="AZ156" s="4">
        <v>0</v>
      </c>
      <c r="BA156" s="4">
        <v>5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</row>
    <row r="157" spans="1:58" x14ac:dyDescent="0.25">
      <c r="A157" s="4" t="s">
        <v>154</v>
      </c>
      <c r="B157" s="4">
        <v>13</v>
      </c>
      <c r="C157" s="4">
        <v>62</v>
      </c>
      <c r="D157" s="4">
        <f>AVERAGE(34,17.5,16.4,40.8)</f>
        <v>27.175000000000001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42</v>
      </c>
      <c r="Y157" s="4">
        <v>0</v>
      </c>
      <c r="Z157" s="4">
        <v>0</v>
      </c>
      <c r="AA157" s="4">
        <v>7</v>
      </c>
      <c r="AB157" s="4">
        <v>23</v>
      </c>
      <c r="AC157" s="4">
        <v>27</v>
      </c>
      <c r="AD157" s="4">
        <v>1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</row>
    <row r="158" spans="1:58" x14ac:dyDescent="0.25">
      <c r="A158" s="4" t="s">
        <v>155</v>
      </c>
      <c r="B158" s="4">
        <v>16</v>
      </c>
      <c r="C158" s="4">
        <v>28</v>
      </c>
      <c r="D158" s="4">
        <f>AVERAGE(42,56,50.2,23.8)</f>
        <v>43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9</v>
      </c>
      <c r="Y158" s="4">
        <v>0</v>
      </c>
      <c r="Z158" s="4">
        <v>0</v>
      </c>
      <c r="AA158" s="4">
        <v>20</v>
      </c>
      <c r="AB158" s="4">
        <v>0</v>
      </c>
      <c r="AC158" s="4">
        <v>71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</row>
    <row r="159" spans="1:58" x14ac:dyDescent="0.25">
      <c r="A159" s="4" t="s">
        <v>156</v>
      </c>
      <c r="B159" s="4">
        <v>16</v>
      </c>
      <c r="C159" s="4">
        <v>54</v>
      </c>
      <c r="D159" s="4">
        <f>AVERAGE(52,48.2,19.6,23.5)</f>
        <v>35.825000000000003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3</v>
      </c>
      <c r="Y159" s="4">
        <v>0</v>
      </c>
      <c r="Z159" s="4">
        <v>0</v>
      </c>
      <c r="AA159" s="4">
        <v>36</v>
      </c>
      <c r="AB159" s="4">
        <v>0</v>
      </c>
      <c r="AC159" s="4">
        <v>33</v>
      </c>
      <c r="AD159" s="4">
        <v>23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2</v>
      </c>
      <c r="AW159" s="4">
        <v>0</v>
      </c>
      <c r="AX159" s="4">
        <v>0</v>
      </c>
      <c r="AY159" s="4">
        <v>0</v>
      </c>
      <c r="AZ159" s="4">
        <v>2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</row>
    <row r="160" spans="1:58" x14ac:dyDescent="0.25">
      <c r="A160" s="4" t="s">
        <v>157</v>
      </c>
      <c r="B160" s="4">
        <v>19</v>
      </c>
      <c r="C160" s="4">
        <v>62</v>
      </c>
      <c r="D160" s="4">
        <f>AVERAGE(21.7,30.3,34,37.2)</f>
        <v>30.8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8</v>
      </c>
      <c r="Y160" s="4">
        <v>0</v>
      </c>
      <c r="Z160" s="4">
        <v>0</v>
      </c>
      <c r="AA160" s="4">
        <v>71</v>
      </c>
      <c r="AB160" s="4">
        <v>0</v>
      </c>
      <c r="AC160" s="4">
        <v>11</v>
      </c>
      <c r="AD160" s="4">
        <v>10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</row>
    <row r="161" spans="1:58" x14ac:dyDescent="0.25">
      <c r="A161" s="4" t="s">
        <v>158</v>
      </c>
      <c r="B161" s="4">
        <v>20</v>
      </c>
      <c r="C161" s="4">
        <v>76</v>
      </c>
      <c r="D161" s="4">
        <f>AVERAGE(44.4,37.7,38.5,40.5)</f>
        <v>40.274999999999999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1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 t="s">
        <v>225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6</v>
      </c>
      <c r="AB161" s="4">
        <v>29</v>
      </c>
      <c r="AC161" s="4">
        <v>0</v>
      </c>
      <c r="AD161" s="4">
        <v>0</v>
      </c>
      <c r="AE161" s="4">
        <v>0</v>
      </c>
      <c r="AF161" s="4">
        <v>55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  <c r="AP161" s="4">
        <v>0</v>
      </c>
      <c r="AQ161" s="4">
        <v>0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0</v>
      </c>
      <c r="AX161" s="4">
        <v>0</v>
      </c>
      <c r="AY161" s="4">
        <v>0</v>
      </c>
      <c r="AZ161" s="4">
        <v>0</v>
      </c>
      <c r="BA161" s="4">
        <v>0</v>
      </c>
      <c r="BB161" s="4">
        <v>3</v>
      </c>
      <c r="BC161" s="4">
        <v>0</v>
      </c>
      <c r="BD161" s="4">
        <v>0</v>
      </c>
      <c r="BE161" s="4">
        <v>0</v>
      </c>
      <c r="BF161" s="4">
        <v>0</v>
      </c>
    </row>
    <row r="162" spans="1:58" x14ac:dyDescent="0.25">
      <c r="A162" s="4" t="s">
        <v>159</v>
      </c>
      <c r="B162" s="4">
        <v>9</v>
      </c>
      <c r="C162" s="4">
        <v>148</v>
      </c>
      <c r="D162" s="4">
        <f>AVERAGE(19.8,29.5,11.4,34.5)</f>
        <v>23.799999999999997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48</v>
      </c>
      <c r="Y162" s="4">
        <v>0</v>
      </c>
      <c r="Z162" s="4">
        <v>0</v>
      </c>
      <c r="AA162" s="4">
        <v>1</v>
      </c>
      <c r="AB162" s="4">
        <v>10</v>
      </c>
      <c r="AC162" s="4">
        <v>7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1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1</v>
      </c>
      <c r="AZ162" s="4">
        <v>0</v>
      </c>
      <c r="BA162" s="4">
        <v>0</v>
      </c>
      <c r="BB162" s="4">
        <v>0</v>
      </c>
      <c r="BC162" s="4">
        <v>32</v>
      </c>
      <c r="BD162" s="4">
        <v>0</v>
      </c>
      <c r="BE162" s="4">
        <v>0</v>
      </c>
      <c r="BF162" s="4">
        <v>0</v>
      </c>
    </row>
    <row r="163" spans="1:58" x14ac:dyDescent="0.25">
      <c r="A163" s="4" t="s">
        <v>160</v>
      </c>
      <c r="B163" s="4">
        <v>16</v>
      </c>
      <c r="C163" s="4">
        <v>108</v>
      </c>
      <c r="D163" s="4">
        <f>AVERAGE(33,24.5,24.6,0)</f>
        <v>20.524999999999999</v>
      </c>
      <c r="E163" s="4">
        <v>0</v>
      </c>
      <c r="F163" s="4">
        <v>1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1</v>
      </c>
      <c r="N163" s="4">
        <v>0</v>
      </c>
      <c r="O163" s="4">
        <v>0</v>
      </c>
      <c r="P163" s="4">
        <v>100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6</v>
      </c>
      <c r="Y163" s="4">
        <v>0</v>
      </c>
      <c r="Z163" s="4">
        <v>0</v>
      </c>
      <c r="AA163" s="4">
        <v>0</v>
      </c>
      <c r="AB163" s="4">
        <v>0</v>
      </c>
      <c r="AC163" s="4">
        <v>56</v>
      </c>
      <c r="AD163" s="4">
        <v>0</v>
      </c>
      <c r="AE163" s="4">
        <v>0</v>
      </c>
      <c r="AF163" s="4">
        <v>26</v>
      </c>
      <c r="AG163" s="4">
        <v>11</v>
      </c>
      <c r="AH163" s="4">
        <v>0</v>
      </c>
      <c r="AI163" s="4">
        <v>1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</row>
    <row r="164" spans="1:58" x14ac:dyDescent="0.25">
      <c r="A164" s="4" t="s">
        <v>161</v>
      </c>
      <c r="B164" s="4" t="s">
        <v>226</v>
      </c>
      <c r="C164" s="4" t="s">
        <v>226</v>
      </c>
      <c r="D164" s="4">
        <f>AVERAGE(20.9,18.5,0,11.9)</f>
        <v>12.824999999999999</v>
      </c>
      <c r="E164" s="4">
        <v>0</v>
      </c>
      <c r="F164" s="4">
        <v>1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100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0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</row>
    <row r="165" spans="1:58" x14ac:dyDescent="0.25">
      <c r="A165" s="4" t="s">
        <v>162</v>
      </c>
      <c r="B165" s="4">
        <v>21</v>
      </c>
      <c r="C165" s="4">
        <v>150</v>
      </c>
      <c r="D165" s="4">
        <f>AVERAGE(19.1,28.4,19.4,31)</f>
        <v>24.475000000000001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40</v>
      </c>
      <c r="V165" s="4">
        <v>0</v>
      </c>
      <c r="W165" s="4">
        <v>0</v>
      </c>
      <c r="X165" s="4">
        <v>31</v>
      </c>
      <c r="Y165" s="4">
        <v>0</v>
      </c>
      <c r="Z165" s="4">
        <v>0</v>
      </c>
      <c r="AA165" s="4">
        <v>0</v>
      </c>
      <c r="AB165" s="4">
        <v>25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41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</row>
    <row r="166" spans="1:58" x14ac:dyDescent="0.25">
      <c r="A166" s="4" t="s">
        <v>163</v>
      </c>
      <c r="B166" s="4">
        <v>6</v>
      </c>
      <c r="C166" s="4">
        <v>328</v>
      </c>
      <c r="D166" s="4">
        <f>AVERAGE(24.5,32.4,21.8,28.5)</f>
        <v>26.8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18</v>
      </c>
      <c r="Y166" s="4">
        <v>0</v>
      </c>
      <c r="Z166" s="4">
        <v>0</v>
      </c>
      <c r="AA166" s="4">
        <v>19</v>
      </c>
      <c r="AB166" s="4">
        <v>20</v>
      </c>
      <c r="AC166" s="4">
        <v>42</v>
      </c>
      <c r="AD166" s="4">
        <v>1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</row>
    <row r="167" spans="1:58" x14ac:dyDescent="0.25">
      <c r="A167" s="4" t="s">
        <v>164</v>
      </c>
      <c r="B167" s="4">
        <v>9</v>
      </c>
      <c r="C167" s="4">
        <v>328</v>
      </c>
      <c r="D167" s="4">
        <f>AVERAGE(17.6,28.2,25.5,23.8)</f>
        <v>23.774999999999999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29</v>
      </c>
      <c r="Y167" s="4">
        <v>0</v>
      </c>
      <c r="Z167" s="4">
        <v>0</v>
      </c>
      <c r="AA167" s="4">
        <v>29</v>
      </c>
      <c r="AB167" s="4">
        <v>0</v>
      </c>
      <c r="AC167" s="4">
        <v>4</v>
      </c>
      <c r="AD167" s="4">
        <v>37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1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</row>
    <row r="168" spans="1:58" x14ac:dyDescent="0.25">
      <c r="A168" s="4" t="s">
        <v>165</v>
      </c>
      <c r="B168" s="4">
        <v>10</v>
      </c>
      <c r="C168" s="4">
        <v>312</v>
      </c>
      <c r="D168" s="4">
        <f>AVERAGE(27.8,17.6,30.5,17.8)</f>
        <v>23.425000000000001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30</v>
      </c>
      <c r="Y168" s="4">
        <v>0</v>
      </c>
      <c r="Z168" s="4">
        <v>0</v>
      </c>
      <c r="AA168" s="4">
        <v>26</v>
      </c>
      <c r="AB168" s="4">
        <v>3</v>
      </c>
      <c r="AC168" s="4">
        <v>4</v>
      </c>
      <c r="AD168" s="4">
        <v>36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1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</row>
    <row r="169" spans="1:58" x14ac:dyDescent="0.25">
      <c r="A169" s="4" t="s">
        <v>166</v>
      </c>
      <c r="B169" s="4">
        <v>11</v>
      </c>
      <c r="C169" s="4">
        <v>354</v>
      </c>
      <c r="D169" s="4">
        <f>AVERAGE(27.8,30.3,48,51)</f>
        <v>39.274999999999999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26</v>
      </c>
      <c r="Y169" s="4">
        <v>0</v>
      </c>
      <c r="Z169" s="4">
        <v>0</v>
      </c>
      <c r="AA169" s="4">
        <v>19</v>
      </c>
      <c r="AB169" s="4">
        <v>0</v>
      </c>
      <c r="AC169" s="4">
        <v>0</v>
      </c>
      <c r="AD169" s="4">
        <v>55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>
        <v>0</v>
      </c>
      <c r="AY169" s="4">
        <v>0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</row>
    <row r="170" spans="1:58" x14ac:dyDescent="0.25">
      <c r="A170" s="4" t="s">
        <v>167</v>
      </c>
      <c r="B170" s="4">
        <v>14</v>
      </c>
      <c r="C170" s="4">
        <v>354</v>
      </c>
      <c r="D170" s="4">
        <f>AVERAGE(11.8,26.7,20.9,38.6)</f>
        <v>24.5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23</v>
      </c>
      <c r="Y170" s="4">
        <v>0</v>
      </c>
      <c r="Z170" s="4">
        <v>0</v>
      </c>
      <c r="AA170" s="4">
        <v>18</v>
      </c>
      <c r="AB170" s="4">
        <v>0</v>
      </c>
      <c r="AC170" s="4">
        <v>43</v>
      </c>
      <c r="AD170" s="4">
        <v>16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0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</row>
    <row r="171" spans="1:58" x14ac:dyDescent="0.25">
      <c r="A171" s="4" t="s">
        <v>168</v>
      </c>
      <c r="B171" s="4">
        <v>14</v>
      </c>
      <c r="C171" s="4">
        <v>354</v>
      </c>
      <c r="D171" s="4">
        <f>AVERAGE(34,37.2,38.6,34)</f>
        <v>35.950000000000003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35</v>
      </c>
      <c r="Y171" s="4">
        <v>0</v>
      </c>
      <c r="Z171" s="4">
        <v>0</v>
      </c>
      <c r="AA171" s="4">
        <v>12</v>
      </c>
      <c r="AB171" s="4">
        <v>0</v>
      </c>
      <c r="AC171" s="4">
        <v>52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1</v>
      </c>
      <c r="AT171" s="4">
        <v>0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</row>
    <row r="172" spans="1:58" x14ac:dyDescent="0.25">
      <c r="A172" s="4" t="s">
        <v>169</v>
      </c>
      <c r="B172" s="4">
        <v>14</v>
      </c>
      <c r="C172" s="4">
        <v>354</v>
      </c>
      <c r="D172" s="4">
        <f>AVERAGE(36.6,23.1,0,42.4)</f>
        <v>25.524999999999999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43</v>
      </c>
      <c r="Y172" s="4">
        <v>0</v>
      </c>
      <c r="Z172" s="4">
        <v>0</v>
      </c>
      <c r="AA172" s="4">
        <v>10</v>
      </c>
      <c r="AB172" s="4">
        <v>0</v>
      </c>
      <c r="AC172" s="4">
        <v>39</v>
      </c>
      <c r="AD172" s="4">
        <v>6</v>
      </c>
      <c r="AE172" s="4">
        <v>0</v>
      </c>
      <c r="AF172" s="4">
        <v>2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</row>
    <row r="173" spans="1:58" x14ac:dyDescent="0.25">
      <c r="A173" s="4" t="s">
        <v>170</v>
      </c>
      <c r="B173" s="4">
        <v>18</v>
      </c>
      <c r="C173" s="4">
        <v>354</v>
      </c>
      <c r="D173" s="4">
        <f>AVERAGE(25.9,24.1,24,23.3)</f>
        <v>24.324999999999999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48</v>
      </c>
      <c r="Y173" s="4">
        <v>0</v>
      </c>
      <c r="Z173" s="4">
        <v>0</v>
      </c>
      <c r="AA173" s="4">
        <v>2</v>
      </c>
      <c r="AB173" s="4">
        <v>0</v>
      </c>
      <c r="AC173" s="4">
        <v>50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</row>
    <row r="174" spans="1:58" x14ac:dyDescent="0.25">
      <c r="A174" s="4" t="s">
        <v>171</v>
      </c>
      <c r="B174" s="4">
        <v>6</v>
      </c>
      <c r="C174" s="4">
        <v>168</v>
      </c>
      <c r="D174" s="4">
        <f>AVERAGE(23,28.2,13.2,29.8)</f>
        <v>23.55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100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</row>
    <row r="175" spans="1:58" x14ac:dyDescent="0.25">
      <c r="A175" s="4" t="s">
        <v>172</v>
      </c>
      <c r="B175" s="4">
        <v>10</v>
      </c>
      <c r="C175" s="4">
        <v>202</v>
      </c>
      <c r="D175" s="4">
        <f>AVERAGE(11,20,25.4,24)</f>
        <v>20.100000000000001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100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0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</row>
    <row r="176" spans="1:58" x14ac:dyDescent="0.25">
      <c r="A176" s="4" t="s">
        <v>173</v>
      </c>
      <c r="B176" s="4">
        <v>9</v>
      </c>
      <c r="C176" s="4">
        <v>234</v>
      </c>
      <c r="D176" s="4">
        <f>AVERAGE(14.8,29,40.8,29)</f>
        <v>28.4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3</v>
      </c>
      <c r="V176" s="4">
        <v>0</v>
      </c>
      <c r="W176" s="4">
        <v>0</v>
      </c>
      <c r="X176" s="4">
        <v>10</v>
      </c>
      <c r="Y176" s="4">
        <v>0</v>
      </c>
      <c r="Z176" s="4">
        <v>0</v>
      </c>
      <c r="AA176" s="4">
        <v>7</v>
      </c>
      <c r="AB176" s="4">
        <v>0</v>
      </c>
      <c r="AC176" s="4">
        <v>70</v>
      </c>
      <c r="AD176" s="4">
        <v>10</v>
      </c>
      <c r="AE176" s="4">
        <v>0</v>
      </c>
      <c r="AF176" s="4">
        <v>0</v>
      </c>
      <c r="AG176" s="4">
        <v>2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1</v>
      </c>
      <c r="AR176" s="4">
        <v>0</v>
      </c>
      <c r="AS176" s="4">
        <v>0</v>
      </c>
      <c r="AT176" s="4">
        <v>0</v>
      </c>
      <c r="AU176" s="4">
        <v>0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</row>
    <row r="177" spans="1:58" x14ac:dyDescent="0.25">
      <c r="A177" s="4" t="s">
        <v>174</v>
      </c>
      <c r="B177" s="4">
        <v>15</v>
      </c>
      <c r="C177" s="4">
        <v>170</v>
      </c>
      <c r="D177" s="4">
        <f>AVERAGE(22,32.8,38.2,17.2)</f>
        <v>27.55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6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22</v>
      </c>
      <c r="Y177" s="4">
        <v>27</v>
      </c>
      <c r="Z177" s="4">
        <v>0</v>
      </c>
      <c r="AA177" s="4">
        <v>5</v>
      </c>
      <c r="AB177" s="4">
        <v>0</v>
      </c>
      <c r="AC177" s="4">
        <v>8</v>
      </c>
      <c r="AD177" s="4">
        <v>0</v>
      </c>
      <c r="AE177" s="4">
        <v>0</v>
      </c>
      <c r="AF177" s="4">
        <v>0</v>
      </c>
      <c r="AG177" s="4">
        <v>37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4">
        <v>0</v>
      </c>
      <c r="AR177" s="4">
        <v>0</v>
      </c>
      <c r="AS177" s="4">
        <v>1</v>
      </c>
      <c r="AT177" s="4">
        <v>0</v>
      </c>
      <c r="AU177" s="4">
        <v>0</v>
      </c>
      <c r="AV177" s="4">
        <v>0</v>
      </c>
      <c r="AW177" s="4">
        <v>0</v>
      </c>
      <c r="AX177" s="4">
        <v>0</v>
      </c>
      <c r="AY177" s="4">
        <v>0</v>
      </c>
      <c r="AZ177" s="4">
        <v>0</v>
      </c>
      <c r="BA177" s="4">
        <v>0</v>
      </c>
      <c r="BB177" s="4">
        <v>0</v>
      </c>
      <c r="BC177" s="4">
        <v>0</v>
      </c>
      <c r="BD177" s="4">
        <v>0</v>
      </c>
      <c r="BE177" s="4">
        <v>0</v>
      </c>
      <c r="BF177" s="4">
        <v>0</v>
      </c>
    </row>
    <row r="178" spans="1:58" x14ac:dyDescent="0.25">
      <c r="A178" s="4" t="s">
        <v>175</v>
      </c>
      <c r="B178" s="4">
        <v>16</v>
      </c>
      <c r="C178" s="4">
        <v>222</v>
      </c>
      <c r="D178" s="4">
        <f>AVERAGE(17.4,10.4,19.4,12)</f>
        <v>14.799999999999999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28</v>
      </c>
      <c r="Y178" s="4">
        <v>0</v>
      </c>
      <c r="Z178" s="4">
        <v>0</v>
      </c>
      <c r="AA178" s="4">
        <v>0</v>
      </c>
      <c r="AB178" s="4">
        <v>3</v>
      </c>
      <c r="AC178" s="4">
        <v>63</v>
      </c>
      <c r="AD178" s="4">
        <v>0</v>
      </c>
      <c r="AE178" s="4">
        <v>0</v>
      </c>
      <c r="AF178" s="4">
        <v>6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</row>
    <row r="179" spans="1:58" x14ac:dyDescent="0.25">
      <c r="A179" s="4" t="s">
        <v>176</v>
      </c>
      <c r="B179" s="4">
        <v>13</v>
      </c>
      <c r="C179" s="4">
        <v>202</v>
      </c>
      <c r="D179" s="4">
        <f>AVERAGE(38.8,40.8,47,38.4)</f>
        <v>41.25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11</v>
      </c>
      <c r="Y179" s="4">
        <v>0</v>
      </c>
      <c r="Z179" s="4">
        <v>0</v>
      </c>
      <c r="AA179" s="4">
        <v>0</v>
      </c>
      <c r="AB179" s="4">
        <v>0</v>
      </c>
      <c r="AC179" s="4">
        <v>60</v>
      </c>
      <c r="AD179" s="4">
        <v>0</v>
      </c>
      <c r="AE179" s="4">
        <v>0</v>
      </c>
      <c r="AF179" s="4">
        <v>29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</row>
    <row r="180" spans="1:58" x14ac:dyDescent="0.25">
      <c r="A180" s="4" t="s">
        <v>177</v>
      </c>
      <c r="B180" s="4">
        <v>15</v>
      </c>
      <c r="C180" s="4">
        <v>206</v>
      </c>
      <c r="D180" s="4">
        <f>AVERAGE(42.2,28.6,47.8,36.8)</f>
        <v>38.85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16</v>
      </c>
      <c r="Y180" s="4">
        <v>0</v>
      </c>
      <c r="Z180" s="4">
        <v>0</v>
      </c>
      <c r="AA180" s="4">
        <v>0</v>
      </c>
      <c r="AB180" s="4">
        <v>0</v>
      </c>
      <c r="AC180" s="4">
        <v>39</v>
      </c>
      <c r="AD180" s="4">
        <v>5</v>
      </c>
      <c r="AE180" s="4">
        <v>0</v>
      </c>
      <c r="AF180" s="4">
        <v>9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11</v>
      </c>
      <c r="AR180" s="4">
        <v>0</v>
      </c>
      <c r="AS180" s="4">
        <v>0</v>
      </c>
      <c r="AT180" s="4">
        <v>1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19</v>
      </c>
      <c r="BE180" s="4">
        <v>0</v>
      </c>
      <c r="BF180" s="4">
        <v>0</v>
      </c>
    </row>
    <row r="181" spans="1:58" x14ac:dyDescent="0.25">
      <c r="A181" s="4" t="s">
        <v>178</v>
      </c>
      <c r="B181" s="4">
        <v>14</v>
      </c>
      <c r="C181" s="4">
        <v>190</v>
      </c>
      <c r="D181" s="4">
        <f>AVERAGE(39,29,39.2,47.4)</f>
        <v>38.65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18</v>
      </c>
      <c r="Y181" s="4">
        <v>0</v>
      </c>
      <c r="Z181" s="4">
        <v>0</v>
      </c>
      <c r="AA181" s="4">
        <v>0</v>
      </c>
      <c r="AB181" s="4">
        <v>0</v>
      </c>
      <c r="AC181" s="4">
        <v>64</v>
      </c>
      <c r="AD181" s="4">
        <v>0</v>
      </c>
      <c r="AE181" s="4">
        <v>0</v>
      </c>
      <c r="AF181" s="4">
        <v>14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1</v>
      </c>
      <c r="AR181" s="4">
        <v>0</v>
      </c>
      <c r="AS181" s="4">
        <v>0</v>
      </c>
      <c r="AT181" s="4">
        <v>2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1</v>
      </c>
      <c r="BD181" s="4">
        <v>0</v>
      </c>
      <c r="BE181" s="4">
        <v>0</v>
      </c>
      <c r="BF181" s="4">
        <v>0</v>
      </c>
    </row>
    <row r="182" spans="1:58" x14ac:dyDescent="0.25">
      <c r="A182" s="4" t="s">
        <v>179</v>
      </c>
      <c r="B182" s="4">
        <v>16</v>
      </c>
      <c r="C182" s="4">
        <v>190</v>
      </c>
      <c r="D182" s="4">
        <f>AVERAGE(28.6,41.2,31,48)</f>
        <v>37.200000000000003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26</v>
      </c>
      <c r="Y182" s="4">
        <v>0</v>
      </c>
      <c r="Z182" s="4">
        <v>0</v>
      </c>
      <c r="AA182" s="4">
        <v>0</v>
      </c>
      <c r="AB182" s="4">
        <v>0</v>
      </c>
      <c r="AC182" s="4">
        <v>17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48</v>
      </c>
      <c r="AP182" s="4">
        <v>0</v>
      </c>
      <c r="AQ182" s="4">
        <v>5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0</v>
      </c>
      <c r="BB182" s="4">
        <v>0</v>
      </c>
      <c r="BC182" s="4">
        <v>4</v>
      </c>
      <c r="BD182" s="4">
        <v>0</v>
      </c>
      <c r="BE182" s="4">
        <v>0</v>
      </c>
      <c r="BF182" s="4">
        <v>0</v>
      </c>
    </row>
    <row r="183" spans="1:58" x14ac:dyDescent="0.25">
      <c r="A183" s="4" t="s">
        <v>180</v>
      </c>
      <c r="B183" s="4">
        <v>19</v>
      </c>
      <c r="C183" s="4">
        <v>190</v>
      </c>
      <c r="D183" s="4">
        <f>AVERAGE(36.2,0,0,0)</f>
        <v>9.0500000000000007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1</v>
      </c>
      <c r="Y183" s="4">
        <v>0</v>
      </c>
      <c r="Z183" s="4">
        <v>0</v>
      </c>
      <c r="AA183" s="4">
        <v>0</v>
      </c>
      <c r="AB183" s="4">
        <v>0</v>
      </c>
      <c r="AC183" s="4">
        <v>28</v>
      </c>
      <c r="AD183" s="4">
        <v>6</v>
      </c>
      <c r="AE183" s="4">
        <v>10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31</v>
      </c>
      <c r="AP183" s="4">
        <v>0</v>
      </c>
      <c r="AQ183" s="4">
        <v>21</v>
      </c>
      <c r="AR183" s="4">
        <v>0</v>
      </c>
      <c r="AS183" s="4">
        <v>0</v>
      </c>
      <c r="AT183" s="4">
        <v>0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0</v>
      </c>
      <c r="BB183" s="4">
        <v>0</v>
      </c>
      <c r="BC183" s="4">
        <v>3</v>
      </c>
      <c r="BD183" s="4">
        <v>0</v>
      </c>
      <c r="BE183" s="4">
        <v>0</v>
      </c>
      <c r="BF183" s="4">
        <v>0</v>
      </c>
    </row>
    <row r="184" spans="1:58" x14ac:dyDescent="0.25">
      <c r="A184" s="4" t="s">
        <v>181</v>
      </c>
      <c r="B184" s="4">
        <v>11</v>
      </c>
      <c r="C184" s="4">
        <v>20</v>
      </c>
      <c r="D184" s="4">
        <f>AVERAGE(32.2,26.4,38.8,32.8)</f>
        <v>32.549999999999997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14</v>
      </c>
      <c r="Y184" s="4">
        <v>0</v>
      </c>
      <c r="Z184" s="4">
        <v>0</v>
      </c>
      <c r="AA184" s="4">
        <v>0</v>
      </c>
      <c r="AB184" s="4">
        <v>0</v>
      </c>
      <c r="AC184" s="4">
        <v>86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0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</row>
    <row r="185" spans="1:58" x14ac:dyDescent="0.25">
      <c r="A185" s="4" t="s">
        <v>182</v>
      </c>
      <c r="B185" s="4">
        <v>11</v>
      </c>
      <c r="C185" s="4">
        <v>20</v>
      </c>
      <c r="D185" s="4">
        <f>AVERAGE(25,52.6,52.8,29)</f>
        <v>39.849999999999994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36</v>
      </c>
      <c r="Y185" s="4">
        <v>0</v>
      </c>
      <c r="Z185" s="4">
        <v>0</v>
      </c>
      <c r="AA185" s="4">
        <v>0</v>
      </c>
      <c r="AB185" s="4">
        <v>6</v>
      </c>
      <c r="AC185" s="4">
        <v>58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</row>
    <row r="186" spans="1:58" x14ac:dyDescent="0.25">
      <c r="A186" s="4" t="s">
        <v>183</v>
      </c>
      <c r="B186" s="4">
        <v>18</v>
      </c>
      <c r="C186" s="4">
        <v>360</v>
      </c>
      <c r="D186" s="4">
        <f>AVERAGE(34.2,24.6,21,25)</f>
        <v>26.200000000000003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62</v>
      </c>
      <c r="Y186" s="4">
        <v>0</v>
      </c>
      <c r="Z186" s="4">
        <v>0</v>
      </c>
      <c r="AA186" s="4">
        <v>0</v>
      </c>
      <c r="AB186" s="4">
        <v>29</v>
      </c>
      <c r="AC186" s="4">
        <v>8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1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0</v>
      </c>
      <c r="AZ186" s="4">
        <v>0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</row>
    <row r="187" spans="1:58" x14ac:dyDescent="0.25">
      <c r="A187" s="4" t="s">
        <v>184</v>
      </c>
      <c r="B187" s="4">
        <v>13</v>
      </c>
      <c r="C187" s="4">
        <v>360</v>
      </c>
      <c r="D187" s="4">
        <f>AVERAGE(37,39,20.3,21.6)</f>
        <v>29.475000000000001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100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</row>
    <row r="188" spans="1:58" x14ac:dyDescent="0.25">
      <c r="A188" s="4" t="s">
        <v>185</v>
      </c>
      <c r="B188" s="4">
        <v>10</v>
      </c>
      <c r="C188" s="4">
        <v>354</v>
      </c>
      <c r="D188" s="4">
        <f>AVERAGE(51.4,38.6,27.8,16.2)</f>
        <v>33.5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52</v>
      </c>
      <c r="Y188" s="4">
        <v>0</v>
      </c>
      <c r="Z188" s="4">
        <v>0</v>
      </c>
      <c r="AA188" s="4">
        <v>0</v>
      </c>
      <c r="AB188" s="4">
        <v>0</v>
      </c>
      <c r="AC188" s="4">
        <v>8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</row>
    <row r="189" spans="1:58" x14ac:dyDescent="0.25">
      <c r="A189" s="4" t="s">
        <v>186</v>
      </c>
      <c r="B189" s="4">
        <v>16</v>
      </c>
      <c r="C189" s="4">
        <v>358</v>
      </c>
      <c r="D189" s="4">
        <f>AVERAGE(17,23.6,35,19.8)</f>
        <v>23.849999999999998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1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93</v>
      </c>
      <c r="Y189" s="4">
        <v>0</v>
      </c>
      <c r="Z189" s="4">
        <v>0</v>
      </c>
      <c r="AA189" s="4">
        <v>0</v>
      </c>
      <c r="AB189" s="4">
        <v>0</v>
      </c>
      <c r="AC189" s="4">
        <v>7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0</v>
      </c>
      <c r="BA189" s="4">
        <v>0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</row>
    <row r="190" spans="1:58" x14ac:dyDescent="0.25">
      <c r="A190" s="4" t="s">
        <v>187</v>
      </c>
      <c r="B190" s="4">
        <v>11</v>
      </c>
      <c r="C190" s="4">
        <v>360</v>
      </c>
      <c r="D190" s="4">
        <f>AVERAGE(24.2,17,22.2,49.4)</f>
        <v>28.200000000000003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1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52</v>
      </c>
      <c r="Y190" s="4">
        <v>0</v>
      </c>
      <c r="Z190" s="4">
        <v>0</v>
      </c>
      <c r="AA190" s="4">
        <v>0</v>
      </c>
      <c r="AB190" s="4">
        <v>0</v>
      </c>
      <c r="AC190" s="4">
        <v>29</v>
      </c>
      <c r="AD190" s="4">
        <v>0</v>
      </c>
      <c r="AE190" s="4">
        <v>5</v>
      </c>
      <c r="AF190" s="4">
        <v>14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0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</row>
    <row r="191" spans="1:58" x14ac:dyDescent="0.25">
      <c r="A191" s="4" t="s">
        <v>188</v>
      </c>
      <c r="B191" s="4">
        <v>10</v>
      </c>
      <c r="C191" s="4">
        <v>10</v>
      </c>
      <c r="D191" s="4">
        <f>AVERAGE(32.4,37.2,49.2,32.4)</f>
        <v>37.799999999999997</v>
      </c>
      <c r="E191" s="4">
        <v>0</v>
      </c>
      <c r="F191" s="4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16</v>
      </c>
      <c r="Y191" s="4">
        <v>0</v>
      </c>
      <c r="Z191" s="4">
        <v>0</v>
      </c>
      <c r="AA191" s="4">
        <v>0</v>
      </c>
      <c r="AB191" s="4">
        <v>40</v>
      </c>
      <c r="AC191" s="4">
        <v>40</v>
      </c>
      <c r="AD191" s="4">
        <v>0</v>
      </c>
      <c r="AE191" s="4">
        <v>0</v>
      </c>
      <c r="AF191" s="4">
        <v>0</v>
      </c>
      <c r="AG191" s="4">
        <v>4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</row>
    <row r="192" spans="1:58" x14ac:dyDescent="0.25">
      <c r="A192" s="4" t="s">
        <v>189</v>
      </c>
      <c r="B192" s="4">
        <v>13</v>
      </c>
      <c r="C192" s="4">
        <v>8</v>
      </c>
      <c r="D192" s="4">
        <f>AVERAGE(43,22.8,24.6,42.2)</f>
        <v>33.150000000000006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1</v>
      </c>
      <c r="N192" s="4">
        <v>0</v>
      </c>
      <c r="O192" s="4">
        <v>1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29</v>
      </c>
      <c r="Y192" s="4">
        <v>0</v>
      </c>
      <c r="Z192" s="4">
        <v>0</v>
      </c>
      <c r="AA192" s="4">
        <v>0</v>
      </c>
      <c r="AB192" s="4">
        <v>35</v>
      </c>
      <c r="AC192" s="4">
        <v>36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</row>
    <row r="193" spans="1:58" x14ac:dyDescent="0.25">
      <c r="A193" s="4" t="s">
        <v>190</v>
      </c>
      <c r="B193" s="4">
        <v>16</v>
      </c>
      <c r="C193" s="4">
        <v>22</v>
      </c>
      <c r="D193" s="4">
        <f>AVERAGE(18.2,29.8,32.2,31.8)</f>
        <v>28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1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39</v>
      </c>
      <c r="Y193" s="4">
        <v>0</v>
      </c>
      <c r="Z193" s="4">
        <v>0</v>
      </c>
      <c r="AA193" s="4">
        <v>0</v>
      </c>
      <c r="AB193" s="4">
        <v>31</v>
      </c>
      <c r="AC193" s="4">
        <v>30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</row>
    <row r="194" spans="1:58" x14ac:dyDescent="0.25">
      <c r="A194" s="4" t="s">
        <v>191</v>
      </c>
      <c r="B194" s="4">
        <v>18</v>
      </c>
      <c r="C194" s="4">
        <v>200</v>
      </c>
      <c r="D194" s="4">
        <f>AVERAGE(32,29.4,30.2,10)</f>
        <v>25.4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50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59</v>
      </c>
      <c r="Y194" s="4">
        <v>8</v>
      </c>
      <c r="Z194" s="4">
        <v>0</v>
      </c>
      <c r="AA194" s="4">
        <v>0</v>
      </c>
      <c r="AB194" s="4">
        <v>0</v>
      </c>
      <c r="AC194" s="4">
        <v>33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</row>
    <row r="195" spans="1:58" x14ac:dyDescent="0.25">
      <c r="A195" s="4" t="s">
        <v>192</v>
      </c>
      <c r="B195" s="4">
        <v>16</v>
      </c>
      <c r="C195" s="4">
        <v>200</v>
      </c>
      <c r="D195" s="4">
        <f>AVERAGE(10.4,12.4,30,0)</f>
        <v>13.2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55</v>
      </c>
      <c r="Y195" s="4">
        <v>30</v>
      </c>
      <c r="Z195" s="4">
        <v>0</v>
      </c>
      <c r="AA195" s="4">
        <v>0</v>
      </c>
      <c r="AB195" s="4">
        <v>3</v>
      </c>
      <c r="AC195" s="4">
        <v>12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</row>
    <row r="196" spans="1:58" x14ac:dyDescent="0.25">
      <c r="A196" s="4" t="s">
        <v>193</v>
      </c>
      <c r="B196" s="4">
        <v>11</v>
      </c>
      <c r="C196" s="4">
        <v>324</v>
      </c>
      <c r="D196" s="4">
        <f>AVERAGE(34,35,36.2,56.6)</f>
        <v>40.450000000000003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100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0</v>
      </c>
      <c r="BE196" s="4">
        <v>0</v>
      </c>
      <c r="BF196" s="4">
        <v>0</v>
      </c>
    </row>
    <row r="197" spans="1:58" x14ac:dyDescent="0.25">
      <c r="A197" s="4" t="s">
        <v>194</v>
      </c>
      <c r="B197" s="4">
        <v>11</v>
      </c>
      <c r="C197" s="4">
        <v>316</v>
      </c>
      <c r="D197" s="4">
        <f>AVERAGE(42,14.6,0,50.4)</f>
        <v>26.75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100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</row>
    <row r="198" spans="1:58" x14ac:dyDescent="0.25">
      <c r="A198" s="4" t="s">
        <v>195</v>
      </c>
      <c r="B198" s="4">
        <v>12</v>
      </c>
      <c r="C198" s="4">
        <v>16</v>
      </c>
      <c r="D198" s="4">
        <f>AVERAGE(45.8,60,34,51)</f>
        <v>47.7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1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5</v>
      </c>
      <c r="Y198" s="4">
        <v>0</v>
      </c>
      <c r="Z198" s="4">
        <v>0</v>
      </c>
      <c r="AA198" s="4">
        <v>20</v>
      </c>
      <c r="AB198" s="4">
        <v>0</v>
      </c>
      <c r="AC198" s="4">
        <v>21</v>
      </c>
      <c r="AD198" s="4">
        <v>43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11</v>
      </c>
      <c r="BE198" s="4">
        <v>0</v>
      </c>
      <c r="BF198" s="4">
        <v>0</v>
      </c>
    </row>
    <row r="199" spans="1:58" x14ac:dyDescent="0.25">
      <c r="A199" s="4" t="s">
        <v>196</v>
      </c>
      <c r="B199" s="4">
        <v>13</v>
      </c>
      <c r="C199" s="4">
        <v>2</v>
      </c>
      <c r="D199" s="4">
        <f>AVERAGE(25.6,30.8,15,51.8)</f>
        <v>30.8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26</v>
      </c>
      <c r="Y199" s="4">
        <v>0</v>
      </c>
      <c r="Z199" s="4">
        <v>0</v>
      </c>
      <c r="AA199" s="4">
        <v>36</v>
      </c>
      <c r="AB199" s="4">
        <v>0</v>
      </c>
      <c r="AC199" s="4">
        <v>33</v>
      </c>
      <c r="AD199" s="4">
        <v>5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</row>
    <row r="200" spans="1:58" x14ac:dyDescent="0.25">
      <c r="A200" s="4" t="s">
        <v>197</v>
      </c>
      <c r="B200" s="4">
        <v>15</v>
      </c>
      <c r="C200" s="4">
        <v>350</v>
      </c>
      <c r="D200" s="4">
        <f>AVERAGE(37.8,42,44.8,34.4)</f>
        <v>39.75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100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</row>
    <row r="201" spans="1:58" x14ac:dyDescent="0.25">
      <c r="A201" s="4" t="s">
        <v>198</v>
      </c>
      <c r="B201" s="4">
        <v>1</v>
      </c>
      <c r="C201" s="4">
        <v>270</v>
      </c>
      <c r="D201" s="4">
        <f>AVERAGE(22,26,17.6,17.2)</f>
        <v>20.7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56</v>
      </c>
      <c r="Y201" s="4">
        <v>0</v>
      </c>
      <c r="Z201" s="4">
        <v>0</v>
      </c>
      <c r="AA201" s="4">
        <v>12</v>
      </c>
      <c r="AB201" s="4">
        <v>0</v>
      </c>
      <c r="AC201" s="4">
        <v>25</v>
      </c>
      <c r="AD201" s="4">
        <v>7</v>
      </c>
      <c r="AE201" s="4">
        <v>0</v>
      </c>
      <c r="AF201" s="4">
        <v>0</v>
      </c>
      <c r="AG201" s="4">
        <v>0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0</v>
      </c>
      <c r="BB201" s="4">
        <v>0</v>
      </c>
      <c r="BC201" s="4">
        <v>0</v>
      </c>
      <c r="BD201" s="4">
        <v>0</v>
      </c>
      <c r="BE201" s="4">
        <v>0</v>
      </c>
      <c r="BF201" s="4">
        <v>0</v>
      </c>
    </row>
    <row r="202" spans="1:58" x14ac:dyDescent="0.25">
      <c r="A202" s="4" t="s">
        <v>199</v>
      </c>
      <c r="B202" s="4">
        <v>9</v>
      </c>
      <c r="C202" s="4">
        <v>196</v>
      </c>
      <c r="D202" s="4">
        <f>AVERAGE(53.4,43,42.2,56)</f>
        <v>48.650000000000006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89</v>
      </c>
      <c r="Y202" s="4">
        <v>0</v>
      </c>
      <c r="Z202" s="4">
        <v>0</v>
      </c>
      <c r="AA202" s="4">
        <v>0</v>
      </c>
      <c r="AB202" s="4">
        <v>0</v>
      </c>
      <c r="AC202" s="4">
        <v>11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</row>
    <row r="203" spans="1:58" x14ac:dyDescent="0.25">
      <c r="A203" s="4" t="s">
        <v>200</v>
      </c>
      <c r="B203" s="4">
        <v>11</v>
      </c>
      <c r="C203" s="4">
        <v>190</v>
      </c>
      <c r="D203" s="4">
        <f>AVERAGE(53.2,30,33.2,33)</f>
        <v>37.35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84</v>
      </c>
      <c r="Y203" s="4">
        <v>0</v>
      </c>
      <c r="Z203" s="4">
        <v>0</v>
      </c>
      <c r="AA203" s="4">
        <v>0</v>
      </c>
      <c r="AB203" s="4">
        <v>16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</row>
    <row r="204" spans="1:58" x14ac:dyDescent="0.25">
      <c r="A204" s="4" t="s">
        <v>201</v>
      </c>
      <c r="B204" s="4">
        <v>6</v>
      </c>
      <c r="C204" s="4">
        <v>60</v>
      </c>
      <c r="D204" s="4">
        <f>AVERAGE(36,23,23.2,23)</f>
        <v>26.3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23</v>
      </c>
      <c r="Y204" s="4">
        <v>0</v>
      </c>
      <c r="Z204" s="4">
        <v>0</v>
      </c>
      <c r="AA204" s="4">
        <v>0</v>
      </c>
      <c r="AB204" s="4">
        <v>0</v>
      </c>
      <c r="AC204" s="4">
        <v>70</v>
      </c>
      <c r="AD204" s="4">
        <v>2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5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0</v>
      </c>
      <c r="BC204" s="4">
        <v>0</v>
      </c>
      <c r="BD204" s="4">
        <v>0</v>
      </c>
      <c r="BE204" s="4">
        <v>0</v>
      </c>
      <c r="BF204" s="4">
        <v>0</v>
      </c>
    </row>
    <row r="205" spans="1:58" x14ac:dyDescent="0.25">
      <c r="A205" s="4" t="s">
        <v>202</v>
      </c>
      <c r="B205" s="4">
        <v>5</v>
      </c>
      <c r="C205" s="4">
        <v>20</v>
      </c>
      <c r="D205" s="4">
        <f>AVERAGE(27.2,21.2,17,31)</f>
        <v>24.1</v>
      </c>
      <c r="E205" s="4">
        <v>0</v>
      </c>
      <c r="F205" s="4">
        <v>1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63</v>
      </c>
      <c r="AD205" s="4">
        <v>10</v>
      </c>
      <c r="AE205" s="4">
        <v>0</v>
      </c>
      <c r="AF205" s="4">
        <v>16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11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</row>
    <row r="206" spans="1:58" x14ac:dyDescent="0.25">
      <c r="A206" s="4" t="s">
        <v>203</v>
      </c>
      <c r="B206" s="4">
        <v>8</v>
      </c>
      <c r="C206" s="4">
        <v>60</v>
      </c>
      <c r="D206" s="4">
        <f>AVERAGE(28,36.2,23.6,43)</f>
        <v>32.700000000000003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49</v>
      </c>
      <c r="Y206" s="4">
        <v>0</v>
      </c>
      <c r="Z206" s="4">
        <v>0</v>
      </c>
      <c r="AA206" s="4">
        <v>0</v>
      </c>
      <c r="AB206" s="4">
        <v>0</v>
      </c>
      <c r="AC206" s="4">
        <v>51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</row>
    <row r="207" spans="1:58" x14ac:dyDescent="0.25">
      <c r="A207" s="4" t="s">
        <v>204</v>
      </c>
      <c r="B207" s="4">
        <v>10</v>
      </c>
      <c r="C207" s="4">
        <v>74</v>
      </c>
      <c r="D207" s="4">
        <f>AVERAGE(36.8,26.4,39,33.2)</f>
        <v>33.849999999999994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52</v>
      </c>
      <c r="Y207" s="4">
        <v>0</v>
      </c>
      <c r="Z207" s="4">
        <v>0</v>
      </c>
      <c r="AA207" s="4">
        <v>0</v>
      </c>
      <c r="AB207" s="4">
        <v>0</v>
      </c>
      <c r="AC207" s="4">
        <v>48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0</v>
      </c>
      <c r="BC207" s="4">
        <v>0</v>
      </c>
      <c r="BD207" s="4">
        <v>0</v>
      </c>
      <c r="BE207" s="4">
        <v>0</v>
      </c>
      <c r="BF207" s="4">
        <v>0</v>
      </c>
    </row>
    <row r="208" spans="1:58" x14ac:dyDescent="0.25">
      <c r="A208" s="4" t="s">
        <v>205</v>
      </c>
      <c r="B208" s="4">
        <v>10</v>
      </c>
      <c r="C208" s="4">
        <v>76</v>
      </c>
      <c r="D208" s="4">
        <f>AVERAGE(46.2,16.4,34.2,36.4)</f>
        <v>33.300000000000004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26</v>
      </c>
      <c r="Y208" s="4">
        <v>0</v>
      </c>
      <c r="Z208" s="4">
        <v>0</v>
      </c>
      <c r="AA208" s="4">
        <v>0</v>
      </c>
      <c r="AB208" s="4">
        <v>0</v>
      </c>
      <c r="AC208" s="4">
        <v>65</v>
      </c>
      <c r="AD208" s="4">
        <v>9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0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</row>
    <row r="209" spans="1:58" x14ac:dyDescent="0.25">
      <c r="A209" s="4" t="s">
        <v>206</v>
      </c>
      <c r="B209" s="4">
        <v>14</v>
      </c>
      <c r="C209" s="4">
        <v>76</v>
      </c>
      <c r="D209" s="4">
        <f>AVERAGE(32.4,25.4,24,21)</f>
        <v>25.7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86</v>
      </c>
      <c r="Y209" s="4">
        <v>0</v>
      </c>
      <c r="Z209" s="4">
        <v>0</v>
      </c>
      <c r="AA209" s="4">
        <v>0</v>
      </c>
      <c r="AB209" s="4">
        <v>0</v>
      </c>
      <c r="AC209" s="4">
        <v>14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0</v>
      </c>
      <c r="BF209" s="4">
        <v>0</v>
      </c>
    </row>
    <row r="210" spans="1:58" x14ac:dyDescent="0.25">
      <c r="A210" s="4" t="s">
        <v>207</v>
      </c>
      <c r="B210" s="4">
        <v>14</v>
      </c>
      <c r="C210" s="4">
        <v>70</v>
      </c>
      <c r="D210" s="4">
        <f>AVERAGE(53.4,28,30,28.6)</f>
        <v>35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94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1</v>
      </c>
      <c r="AE210" s="4">
        <v>0</v>
      </c>
      <c r="AF210" s="4">
        <v>5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</row>
    <row r="211" spans="1:58" x14ac:dyDescent="0.25">
      <c r="A211" s="4" t="s">
        <v>208</v>
      </c>
      <c r="B211" s="4">
        <v>11</v>
      </c>
      <c r="C211" s="4">
        <v>66</v>
      </c>
      <c r="D211" s="4">
        <f>AVERAGE(50.2,43.8,38.2,38.2)</f>
        <v>42.599999999999994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58</v>
      </c>
      <c r="Y211" s="4">
        <v>0</v>
      </c>
      <c r="Z211" s="4">
        <v>0</v>
      </c>
      <c r="AA211" s="4">
        <v>0</v>
      </c>
      <c r="AB211" s="4">
        <v>37</v>
      </c>
      <c r="AC211" s="4">
        <v>5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>
        <v>0</v>
      </c>
      <c r="AY211" s="4">
        <v>0</v>
      </c>
      <c r="AZ211" s="4">
        <v>0</v>
      </c>
      <c r="BA211" s="4">
        <v>0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</row>
    <row r="212" spans="1:58" x14ac:dyDescent="0.25">
      <c r="A212" s="4" t="s">
        <v>209</v>
      </c>
      <c r="B212" s="4">
        <v>14</v>
      </c>
      <c r="C212" s="4">
        <v>74</v>
      </c>
      <c r="D212" s="4">
        <f>AVERAGE(29.8,47,36.2,53.4)</f>
        <v>41.6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63</v>
      </c>
      <c r="Y212" s="4">
        <v>0</v>
      </c>
      <c r="Z212" s="4">
        <v>0</v>
      </c>
      <c r="AA212" s="4">
        <v>0</v>
      </c>
      <c r="AB212" s="4">
        <v>25</v>
      </c>
      <c r="AC212" s="4">
        <v>9</v>
      </c>
      <c r="AD212" s="4">
        <v>0</v>
      </c>
      <c r="AE212" s="4">
        <v>0</v>
      </c>
      <c r="AF212" s="4">
        <v>3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0</v>
      </c>
    </row>
    <row r="213" spans="1:58" x14ac:dyDescent="0.25">
      <c r="A213" s="4" t="s">
        <v>210</v>
      </c>
      <c r="B213" s="4">
        <v>14</v>
      </c>
      <c r="C213" s="4">
        <v>74</v>
      </c>
      <c r="D213" s="4">
        <f>AVERAGE(45,66,65,43.2)</f>
        <v>54.8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51</v>
      </c>
      <c r="Y213" s="4">
        <v>0</v>
      </c>
      <c r="Z213" s="4">
        <v>0</v>
      </c>
      <c r="AA213" s="4">
        <v>0</v>
      </c>
      <c r="AB213" s="4">
        <v>10</v>
      </c>
      <c r="AC213" s="4">
        <v>39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</row>
    <row r="214" spans="1:58" x14ac:dyDescent="0.25">
      <c r="A214" s="4" t="s">
        <v>211</v>
      </c>
      <c r="B214" s="4">
        <v>15</v>
      </c>
      <c r="C214" s="4">
        <v>76</v>
      </c>
      <c r="D214" s="4">
        <f>AVERAGE(41,39.8,48.6,51)</f>
        <v>45.1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55</v>
      </c>
      <c r="Y214" s="4">
        <v>0</v>
      </c>
      <c r="Z214" s="4">
        <v>0</v>
      </c>
      <c r="AA214" s="4">
        <v>0</v>
      </c>
      <c r="AB214" s="4">
        <v>10</v>
      </c>
      <c r="AC214" s="4">
        <v>35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</row>
    <row r="215" spans="1:58" x14ac:dyDescent="0.25">
      <c r="A215" s="4" t="s">
        <v>212</v>
      </c>
      <c r="B215" s="4">
        <v>3</v>
      </c>
      <c r="C215" s="4">
        <v>274</v>
      </c>
      <c r="D215" s="4">
        <f>AVERAGE(20,38.8,29,35.4)</f>
        <v>30.799999999999997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17</v>
      </c>
      <c r="Y215" s="4">
        <v>0</v>
      </c>
      <c r="Z215" s="4">
        <v>0</v>
      </c>
      <c r="AA215" s="4">
        <v>1</v>
      </c>
      <c r="AB215" s="4">
        <v>0</v>
      </c>
      <c r="AC215" s="4">
        <v>82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0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</row>
    <row r="216" spans="1:58" x14ac:dyDescent="0.25">
      <c r="A216" s="4" t="s">
        <v>213</v>
      </c>
      <c r="B216" s="4">
        <v>3</v>
      </c>
      <c r="C216" s="4">
        <v>274</v>
      </c>
      <c r="D216" s="4">
        <f>AVERAGE(31.4,34.2,21,32.4)</f>
        <v>29.75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29</v>
      </c>
      <c r="Y216" s="4">
        <v>0</v>
      </c>
      <c r="Z216" s="4">
        <v>0</v>
      </c>
      <c r="AA216" s="4">
        <v>1</v>
      </c>
      <c r="AB216" s="4">
        <v>0</v>
      </c>
      <c r="AC216" s="4">
        <v>70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0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</row>
    <row r="217" spans="1:58" x14ac:dyDescent="0.25">
      <c r="A217" s="4" t="s">
        <v>214</v>
      </c>
      <c r="B217" s="4">
        <v>6</v>
      </c>
      <c r="C217" s="4">
        <v>280</v>
      </c>
      <c r="D217" s="4">
        <f>AVERAGE(20,14.4,48.2,31.4)</f>
        <v>28.5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34</v>
      </c>
      <c r="Y217" s="4">
        <v>0</v>
      </c>
      <c r="Z217" s="4">
        <v>0</v>
      </c>
      <c r="AA217" s="4">
        <v>0</v>
      </c>
      <c r="AB217" s="4">
        <v>0</v>
      </c>
      <c r="AC217" s="4">
        <v>55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11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</row>
    <row r="218" spans="1:58" x14ac:dyDescent="0.25">
      <c r="A218" s="4" t="s">
        <v>215</v>
      </c>
      <c r="B218" s="4">
        <v>9</v>
      </c>
      <c r="C218" s="4">
        <v>292</v>
      </c>
      <c r="D218" s="4">
        <f>AVERAGE(26.2,30.6,31.2,31.8)</f>
        <v>29.95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42</v>
      </c>
      <c r="Y218" s="4">
        <v>0</v>
      </c>
      <c r="Z218" s="4">
        <v>0</v>
      </c>
      <c r="AA218" s="4">
        <v>0</v>
      </c>
      <c r="AB218" s="4">
        <v>0</v>
      </c>
      <c r="AC218" s="4">
        <v>43</v>
      </c>
      <c r="AD218" s="4">
        <v>9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6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0</v>
      </c>
      <c r="AY218" s="4">
        <v>0</v>
      </c>
      <c r="AZ218" s="4">
        <v>0</v>
      </c>
      <c r="BA218" s="4">
        <v>0</v>
      </c>
      <c r="BB218" s="4">
        <v>0</v>
      </c>
      <c r="BC218" s="4">
        <v>0</v>
      </c>
      <c r="BD218" s="4">
        <v>0</v>
      </c>
      <c r="BE218" s="4">
        <v>0</v>
      </c>
      <c r="BF218" s="4">
        <v>0</v>
      </c>
    </row>
    <row r="219" spans="1:58" x14ac:dyDescent="0.25">
      <c r="A219" s="4" t="s">
        <v>216</v>
      </c>
      <c r="B219" s="4">
        <v>9</v>
      </c>
      <c r="C219" s="4">
        <v>288</v>
      </c>
      <c r="D219" s="4">
        <f>AVERAGE(33.2,28,28.6,39)</f>
        <v>32.200000000000003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25</v>
      </c>
      <c r="Y219" s="4">
        <v>0</v>
      </c>
      <c r="Z219" s="4">
        <v>0</v>
      </c>
      <c r="AA219" s="4">
        <v>0</v>
      </c>
      <c r="AB219" s="4">
        <v>0</v>
      </c>
      <c r="AC219" s="4">
        <v>75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0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0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</row>
    <row r="220" spans="1:58" x14ac:dyDescent="0.25">
      <c r="A220" s="4" t="s">
        <v>217</v>
      </c>
      <c r="B220" s="4">
        <v>11</v>
      </c>
      <c r="C220" s="4">
        <v>320</v>
      </c>
      <c r="D220" s="4">
        <f>AVERAGE(24.6,27,22.2,25.6)</f>
        <v>24.85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25</v>
      </c>
      <c r="O220" s="4">
        <v>0</v>
      </c>
      <c r="P220" s="4">
        <v>0</v>
      </c>
      <c r="Q220" s="4">
        <v>75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100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4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4">
        <v>0</v>
      </c>
      <c r="AR220" s="4">
        <v>0</v>
      </c>
      <c r="AS220" s="4">
        <v>0</v>
      </c>
      <c r="AT220" s="4">
        <v>0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0</v>
      </c>
      <c r="BA220" s="4">
        <v>0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</row>
    <row r="221" spans="1:58" x14ac:dyDescent="0.25">
      <c r="A221" s="4" t="s">
        <v>218</v>
      </c>
      <c r="B221" s="4">
        <v>12</v>
      </c>
      <c r="C221" s="4">
        <v>396</v>
      </c>
      <c r="D221" s="4">
        <f>AVERAGE(36.8,25.8,25,26)</f>
        <v>28.4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100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50</v>
      </c>
      <c r="AD221" s="4">
        <v>0</v>
      </c>
      <c r="AE221" s="4">
        <v>0</v>
      </c>
      <c r="AF221" s="4">
        <v>50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</row>
    <row r="222" spans="1:58" x14ac:dyDescent="0.25">
      <c r="A222" s="4" t="s">
        <v>219</v>
      </c>
      <c r="B222" s="4">
        <v>11</v>
      </c>
      <c r="C222" s="4">
        <v>292</v>
      </c>
      <c r="D222" s="4">
        <f>AVERAGE(19.2,15.6,45.4,27.8)</f>
        <v>26.999999999999996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3</v>
      </c>
      <c r="Y222" s="4">
        <v>0</v>
      </c>
      <c r="Z222" s="4">
        <v>0</v>
      </c>
      <c r="AA222" s="4">
        <v>0</v>
      </c>
      <c r="AB222" s="4">
        <v>0</v>
      </c>
      <c r="AC222" s="4">
        <v>96</v>
      </c>
      <c r="AD222" s="4">
        <v>1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</row>
    <row r="223" spans="1:58" x14ac:dyDescent="0.25">
      <c r="A223" s="4" t="s">
        <v>221</v>
      </c>
      <c r="B223" s="4">
        <v>18</v>
      </c>
      <c r="C223" s="4">
        <v>390</v>
      </c>
      <c r="D223" s="4">
        <f>AVERAGE(45,37.8,38,30.4)</f>
        <v>37.799999999999997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100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10</v>
      </c>
      <c r="AC223" s="4">
        <v>0</v>
      </c>
      <c r="AD223" s="4">
        <v>0</v>
      </c>
      <c r="AE223" s="4">
        <v>0</v>
      </c>
      <c r="AF223" s="4">
        <v>90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4">
        <v>0</v>
      </c>
      <c r="AR223" s="4">
        <v>0</v>
      </c>
      <c r="AS223" s="4">
        <v>0</v>
      </c>
      <c r="AT223" s="4">
        <v>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0</v>
      </c>
      <c r="BA223" s="4">
        <v>0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</row>
    <row r="224" spans="1:58" x14ac:dyDescent="0.25">
      <c r="A224" s="4" t="s">
        <v>222</v>
      </c>
      <c r="B224" s="4">
        <v>15</v>
      </c>
      <c r="C224" s="4">
        <v>304</v>
      </c>
      <c r="D224" s="4">
        <f>AVERAGE(51.4,30,46.8,53)</f>
        <v>45.3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54</v>
      </c>
      <c r="Y224" s="4">
        <v>0</v>
      </c>
      <c r="Z224" s="4">
        <v>0</v>
      </c>
      <c r="AA224" s="4">
        <v>0</v>
      </c>
      <c r="AB224" s="4">
        <v>31</v>
      </c>
      <c r="AC224" s="4">
        <v>15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</row>
    <row r="225" spans="1:58" x14ac:dyDescent="0.25">
      <c r="A225" s="4" t="s">
        <v>223</v>
      </c>
      <c r="B225" s="4">
        <v>14</v>
      </c>
      <c r="C225" s="4">
        <v>304</v>
      </c>
      <c r="D225" s="4">
        <f>AVERAGE(19,18.8,24.2,23.6)</f>
        <v>21.4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100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8"/>
  <sheetViews>
    <sheetView tabSelected="1" workbookViewId="0">
      <pane xSplit="1" ySplit="4" topLeftCell="B167" activePane="bottomRight" state="frozen"/>
      <selection pane="topRight" activeCell="B1" sqref="B1"/>
      <selection pane="bottomLeft" activeCell="A5" sqref="A5"/>
      <selection pane="bottomRight" activeCell="A192" sqref="A192:XFD192"/>
    </sheetView>
  </sheetViews>
  <sheetFormatPr defaultColWidth="11" defaultRowHeight="15.75" x14ac:dyDescent="0.25"/>
  <cols>
    <col min="1" max="40" width="11" style="2"/>
    <col min="41" max="41" width="14.375" style="2" customWidth="1"/>
    <col min="42" max="16384" width="11" style="2"/>
  </cols>
  <sheetData>
    <row r="1" spans="1:55" x14ac:dyDescent="0.25">
      <c r="A1" s="2">
        <v>224</v>
      </c>
      <c r="B1" s="2" t="s">
        <v>288</v>
      </c>
    </row>
    <row r="2" spans="1:55" x14ac:dyDescent="0.25">
      <c r="A2" s="2">
        <v>54</v>
      </c>
      <c r="B2" s="2" t="s">
        <v>289</v>
      </c>
    </row>
    <row r="3" spans="1:55" x14ac:dyDescent="0.25">
      <c r="B3" s="2" t="s">
        <v>287</v>
      </c>
      <c r="C3" s="2" t="s">
        <v>287</v>
      </c>
      <c r="D3" s="2" t="s">
        <v>287</v>
      </c>
      <c r="E3" s="2" t="s">
        <v>287</v>
      </c>
      <c r="F3" s="2" t="s">
        <v>287</v>
      </c>
      <c r="G3" s="2" t="s">
        <v>287</v>
      </c>
      <c r="H3" s="2" t="s">
        <v>287</v>
      </c>
      <c r="I3" s="2" t="s">
        <v>287</v>
      </c>
      <c r="J3" s="2" t="s">
        <v>287</v>
      </c>
      <c r="K3" s="2" t="s">
        <v>287</v>
      </c>
      <c r="L3" s="2" t="s">
        <v>287</v>
      </c>
      <c r="M3" s="2" t="s">
        <v>287</v>
      </c>
      <c r="N3" s="2" t="s">
        <v>287</v>
      </c>
      <c r="O3" s="2" t="s">
        <v>287</v>
      </c>
      <c r="P3" s="2" t="s">
        <v>287</v>
      </c>
      <c r="Q3" s="2" t="s">
        <v>287</v>
      </c>
      <c r="R3" s="2" t="s">
        <v>287</v>
      </c>
      <c r="S3" s="2" t="s">
        <v>287</v>
      </c>
      <c r="T3" s="2" t="s">
        <v>287</v>
      </c>
      <c r="U3" s="2" t="s">
        <v>287</v>
      </c>
      <c r="V3" s="2" t="s">
        <v>287</v>
      </c>
      <c r="W3" s="2" t="s">
        <v>287</v>
      </c>
      <c r="X3" s="2" t="s">
        <v>287</v>
      </c>
      <c r="Y3" s="2" t="s">
        <v>287</v>
      </c>
      <c r="Z3" s="2" t="s">
        <v>287</v>
      </c>
      <c r="AA3" s="2" t="s">
        <v>287</v>
      </c>
      <c r="AB3" s="2" t="s">
        <v>287</v>
      </c>
      <c r="AC3" s="2" t="s">
        <v>287</v>
      </c>
      <c r="AD3" s="2" t="s">
        <v>287</v>
      </c>
      <c r="AE3" s="2" t="s">
        <v>287</v>
      </c>
      <c r="AF3" s="2" t="s">
        <v>287</v>
      </c>
      <c r="AG3" s="2" t="s">
        <v>287</v>
      </c>
      <c r="AH3" s="2" t="s">
        <v>287</v>
      </c>
      <c r="AI3" s="2" t="s">
        <v>287</v>
      </c>
      <c r="AJ3" s="2" t="s">
        <v>287</v>
      </c>
      <c r="AK3" s="2" t="s">
        <v>287</v>
      </c>
      <c r="AL3" s="2" t="s">
        <v>287</v>
      </c>
      <c r="AM3" s="2" t="s">
        <v>287</v>
      </c>
      <c r="AN3" s="2" t="s">
        <v>287</v>
      </c>
      <c r="AO3" s="2" t="s">
        <v>287</v>
      </c>
      <c r="AP3" s="2" t="s">
        <v>287</v>
      </c>
      <c r="AQ3" s="2" t="s">
        <v>287</v>
      </c>
      <c r="AR3" s="2" t="s">
        <v>287</v>
      </c>
      <c r="AS3" s="2" t="s">
        <v>287</v>
      </c>
      <c r="AT3" s="2" t="s">
        <v>287</v>
      </c>
      <c r="AU3" s="2" t="s">
        <v>287</v>
      </c>
      <c r="AV3" s="2" t="s">
        <v>287</v>
      </c>
      <c r="AW3" s="2" t="s">
        <v>287</v>
      </c>
      <c r="AX3" s="2" t="s">
        <v>287</v>
      </c>
      <c r="AY3" s="2" t="s">
        <v>287</v>
      </c>
      <c r="AZ3" s="2" t="s">
        <v>287</v>
      </c>
      <c r="BA3" s="2" t="s">
        <v>287</v>
      </c>
      <c r="BB3" s="2" t="s">
        <v>287</v>
      </c>
      <c r="BC3" s="2" t="s">
        <v>287</v>
      </c>
    </row>
    <row r="4" spans="1:55" x14ac:dyDescent="0.25">
      <c r="A4" s="3" t="s">
        <v>286</v>
      </c>
      <c r="B4" s="3" t="s">
        <v>227</v>
      </c>
      <c r="C4" s="3" t="s">
        <v>228</v>
      </c>
      <c r="D4" s="3" t="s">
        <v>229</v>
      </c>
      <c r="E4" s="3" t="s">
        <v>230</v>
      </c>
      <c r="F4" s="3" t="s">
        <v>231</v>
      </c>
      <c r="G4" s="3" t="s">
        <v>232</v>
      </c>
      <c r="H4" s="3" t="s">
        <v>233</v>
      </c>
      <c r="I4" s="3" t="s">
        <v>234</v>
      </c>
      <c r="J4" s="3" t="s">
        <v>235</v>
      </c>
      <c r="K4" s="3" t="s">
        <v>236</v>
      </c>
      <c r="L4" s="3" t="s">
        <v>237</v>
      </c>
      <c r="M4" s="3" t="s">
        <v>238</v>
      </c>
      <c r="N4" s="3" t="s">
        <v>239</v>
      </c>
      <c r="O4" s="3" t="s">
        <v>240</v>
      </c>
      <c r="P4" s="3" t="s">
        <v>241</v>
      </c>
      <c r="Q4" s="3" t="s">
        <v>242</v>
      </c>
      <c r="R4" s="3" t="s">
        <v>243</v>
      </c>
      <c r="S4" s="3" t="s">
        <v>244</v>
      </c>
      <c r="T4" s="3" t="s">
        <v>245</v>
      </c>
      <c r="U4" s="3" t="s">
        <v>246</v>
      </c>
      <c r="V4" s="3" t="s">
        <v>247</v>
      </c>
      <c r="W4" s="3" t="s">
        <v>248</v>
      </c>
      <c r="X4" s="3" t="s">
        <v>249</v>
      </c>
      <c r="Y4" s="3" t="s">
        <v>250</v>
      </c>
      <c r="Z4" s="3" t="s">
        <v>251</v>
      </c>
      <c r="AA4" s="3" t="s">
        <v>252</v>
      </c>
      <c r="AB4" s="3" t="s">
        <v>253</v>
      </c>
      <c r="AC4" s="3" t="s">
        <v>254</v>
      </c>
      <c r="AD4" s="3" t="s">
        <v>255</v>
      </c>
      <c r="AE4" s="3" t="s">
        <v>256</v>
      </c>
      <c r="AF4" s="3" t="s">
        <v>257</v>
      </c>
      <c r="AG4" s="3" t="s">
        <v>258</v>
      </c>
      <c r="AH4" s="3" t="s">
        <v>259</v>
      </c>
      <c r="AI4" s="3" t="s">
        <v>260</v>
      </c>
      <c r="AJ4" s="3" t="s">
        <v>261</v>
      </c>
      <c r="AK4" s="3" t="s">
        <v>262</v>
      </c>
      <c r="AL4" s="3" t="s">
        <v>263</v>
      </c>
      <c r="AM4" s="3" t="s">
        <v>264</v>
      </c>
      <c r="AN4" s="3" t="s">
        <v>265</v>
      </c>
      <c r="AO4" s="3" t="s">
        <v>266</v>
      </c>
      <c r="AP4" s="3" t="s">
        <v>267</v>
      </c>
      <c r="AQ4" s="3" t="s">
        <v>268</v>
      </c>
      <c r="AR4" s="3" t="s">
        <v>269</v>
      </c>
      <c r="AS4" s="3" t="s">
        <v>270</v>
      </c>
      <c r="AT4" s="3" t="s">
        <v>271</v>
      </c>
      <c r="AU4" s="3" t="s">
        <v>272</v>
      </c>
      <c r="AV4" s="3" t="s">
        <v>273</v>
      </c>
      <c r="AW4" s="3" t="s">
        <v>274</v>
      </c>
      <c r="AX4" s="3" t="s">
        <v>275</v>
      </c>
      <c r="AY4" s="3" t="s">
        <v>276</v>
      </c>
      <c r="AZ4" s="3" t="s">
        <v>277</v>
      </c>
      <c r="BA4" s="3" t="s">
        <v>278</v>
      </c>
      <c r="BB4" s="3" t="s">
        <v>279</v>
      </c>
      <c r="BC4" s="3" t="s">
        <v>280</v>
      </c>
    </row>
    <row r="5" spans="1:55" x14ac:dyDescent="0.25">
      <c r="A5" s="2" t="s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3</v>
      </c>
      <c r="W5" s="2">
        <v>0</v>
      </c>
      <c r="X5" s="2">
        <v>0</v>
      </c>
      <c r="Y5" s="2">
        <v>0</v>
      </c>
      <c r="Z5" s="2">
        <v>15</v>
      </c>
      <c r="AA5" s="2">
        <v>0</v>
      </c>
      <c r="AB5" s="2">
        <v>0</v>
      </c>
      <c r="AC5" s="2">
        <v>21</v>
      </c>
      <c r="AD5" s="2">
        <v>39</v>
      </c>
      <c r="AE5" s="2">
        <v>1</v>
      </c>
      <c r="AF5" s="2">
        <v>16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</row>
    <row r="6" spans="1:55" x14ac:dyDescent="0.25">
      <c r="A6" s="2" t="s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100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100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55" x14ac:dyDescent="0.25">
      <c r="A7" s="2" t="s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2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48</v>
      </c>
      <c r="X7" s="2">
        <v>0</v>
      </c>
      <c r="Y7" s="2">
        <v>0</v>
      </c>
      <c r="Z7" s="2">
        <v>2</v>
      </c>
      <c r="AA7" s="2">
        <v>0</v>
      </c>
      <c r="AB7" s="2">
        <v>0</v>
      </c>
      <c r="AC7" s="2">
        <v>0</v>
      </c>
      <c r="AD7" s="2">
        <v>22</v>
      </c>
      <c r="AE7" s="2">
        <v>0</v>
      </c>
      <c r="AF7" s="2">
        <v>0</v>
      </c>
      <c r="AG7" s="2">
        <v>28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5">
      <c r="A8" s="2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100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100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25">
      <c r="A9" s="2" t="s">
        <v>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21</v>
      </c>
      <c r="X9" s="2">
        <v>0</v>
      </c>
      <c r="Y9" s="2">
        <v>0</v>
      </c>
      <c r="Z9" s="2">
        <v>3</v>
      </c>
      <c r="AA9" s="2">
        <v>0</v>
      </c>
      <c r="AB9" s="2">
        <v>0</v>
      </c>
      <c r="AC9" s="2">
        <v>0</v>
      </c>
      <c r="AD9" s="2">
        <v>37</v>
      </c>
      <c r="AE9" s="2">
        <v>39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</row>
    <row r="10" spans="1:55" x14ac:dyDescent="0.25">
      <c r="A10" s="2" t="s">
        <v>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35</v>
      </c>
      <c r="X10" s="2">
        <v>0</v>
      </c>
      <c r="Y10" s="2">
        <v>0</v>
      </c>
      <c r="Z10" s="2">
        <v>4</v>
      </c>
      <c r="AA10" s="2">
        <v>0</v>
      </c>
      <c r="AB10" s="2">
        <v>0</v>
      </c>
      <c r="AC10" s="2">
        <v>37</v>
      </c>
      <c r="AD10" s="2">
        <v>9</v>
      </c>
      <c r="AE10" s="2">
        <v>11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3</v>
      </c>
      <c r="AN10" s="2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</row>
    <row r="11" spans="1:55" x14ac:dyDescent="0.25">
      <c r="A11" s="2" t="s">
        <v>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98</v>
      </c>
      <c r="X11" s="2">
        <v>2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</row>
    <row r="12" spans="1:55" x14ac:dyDescent="0.25">
      <c r="A12" s="2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60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12</v>
      </c>
      <c r="AD12" s="2">
        <v>12</v>
      </c>
      <c r="AE12" s="2">
        <v>7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</row>
    <row r="13" spans="1:55" x14ac:dyDescent="0.25">
      <c r="A13" s="2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36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36</v>
      </c>
      <c r="AD13" s="2">
        <v>7</v>
      </c>
      <c r="AE13" s="2">
        <v>2</v>
      </c>
      <c r="AF13" s="2">
        <v>0</v>
      </c>
      <c r="AG13" s="2">
        <v>12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5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</row>
    <row r="14" spans="1:55" x14ac:dyDescent="0.25">
      <c r="A14" s="2" t="s">
        <v>9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30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72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14</v>
      </c>
      <c r="AD14" s="2">
        <v>10</v>
      </c>
      <c r="AE14" s="2">
        <v>0</v>
      </c>
      <c r="AF14" s="2">
        <v>4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</row>
    <row r="15" spans="1:55" x14ac:dyDescent="0.25">
      <c r="A15" s="2" t="s">
        <v>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100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100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</row>
    <row r="16" spans="1:55" x14ac:dyDescent="0.25">
      <c r="A16" s="2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</v>
      </c>
      <c r="AA16" s="2">
        <v>0</v>
      </c>
      <c r="AB16" s="2">
        <v>0</v>
      </c>
      <c r="AC16" s="2">
        <v>0</v>
      </c>
      <c r="AD16" s="2">
        <v>92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</row>
    <row r="17" spans="1:55" x14ac:dyDescent="0.25">
      <c r="A17" s="2" t="s">
        <v>12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85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13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</row>
    <row r="18" spans="1:55" x14ac:dyDescent="0.25">
      <c r="A18" s="2" t="s">
        <v>13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4</v>
      </c>
      <c r="V18" s="2">
        <v>0</v>
      </c>
      <c r="W18" s="2">
        <v>0</v>
      </c>
      <c r="X18" s="2">
        <v>0</v>
      </c>
      <c r="Y18" s="2">
        <v>0</v>
      </c>
      <c r="Z18" s="2">
        <v>95</v>
      </c>
      <c r="AA18" s="2">
        <v>0</v>
      </c>
      <c r="AB18" s="2">
        <v>0</v>
      </c>
      <c r="AC18" s="2">
        <v>0</v>
      </c>
      <c r="AD18" s="2">
        <v>2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</row>
    <row r="19" spans="1:55" x14ac:dyDescent="0.25">
      <c r="A19" s="2" t="s">
        <v>14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4</v>
      </c>
      <c r="V19" s="2">
        <v>0</v>
      </c>
      <c r="W19" s="2">
        <v>0</v>
      </c>
      <c r="X19" s="2">
        <v>0</v>
      </c>
      <c r="Y19" s="2">
        <v>0</v>
      </c>
      <c r="Z19" s="2">
        <v>61</v>
      </c>
      <c r="AA19" s="2">
        <v>17</v>
      </c>
      <c r="AB19" s="2">
        <v>0</v>
      </c>
      <c r="AC19" s="2">
        <v>9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</row>
    <row r="20" spans="1:55" x14ac:dyDescent="0.25">
      <c r="A20" s="2" t="s">
        <v>15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</v>
      </c>
      <c r="V20" s="2">
        <v>0</v>
      </c>
      <c r="W20" s="2">
        <v>0</v>
      </c>
      <c r="X20" s="2">
        <v>0</v>
      </c>
      <c r="Y20" s="2">
        <v>0</v>
      </c>
      <c r="Z20" s="2">
        <v>33</v>
      </c>
      <c r="AA20" s="2">
        <v>7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4</v>
      </c>
      <c r="AJ20" s="2">
        <v>4</v>
      </c>
      <c r="AK20" s="2">
        <v>0</v>
      </c>
      <c r="AL20" s="2">
        <v>0</v>
      </c>
      <c r="AM20" s="2">
        <v>0</v>
      </c>
      <c r="AN20" s="2">
        <v>3</v>
      </c>
      <c r="AO20" s="2">
        <v>6</v>
      </c>
      <c r="AP20" s="2">
        <v>37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</row>
    <row r="21" spans="1:55" x14ac:dyDescent="0.25">
      <c r="A21" s="2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4</v>
      </c>
      <c r="V21" s="2">
        <v>0</v>
      </c>
      <c r="W21" s="2">
        <v>0</v>
      </c>
      <c r="X21" s="2">
        <v>0</v>
      </c>
      <c r="Y21" s="2">
        <v>0</v>
      </c>
      <c r="Z21" s="2">
        <v>12</v>
      </c>
      <c r="AA21" s="2">
        <v>5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34</v>
      </c>
      <c r="AO21" s="2">
        <v>0</v>
      </c>
      <c r="AP21" s="2">
        <v>41</v>
      </c>
      <c r="AQ21" s="2">
        <v>4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</row>
    <row r="22" spans="1:55" x14ac:dyDescent="0.25">
      <c r="A22" s="2" t="s">
        <v>17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56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34</v>
      </c>
      <c r="AO22" s="2">
        <v>0</v>
      </c>
      <c r="AP22" s="2">
        <v>0</v>
      </c>
      <c r="AQ22" s="2">
        <v>1</v>
      </c>
      <c r="AR22" s="2">
        <v>8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</row>
    <row r="23" spans="1:55" x14ac:dyDescent="0.25">
      <c r="A23" s="2" t="s">
        <v>18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33</v>
      </c>
      <c r="V23" s="2">
        <v>0</v>
      </c>
      <c r="W23" s="2">
        <v>0</v>
      </c>
      <c r="X23" s="2">
        <v>7</v>
      </c>
      <c r="Y23" s="2">
        <v>0</v>
      </c>
      <c r="Z23" s="2">
        <v>53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4</v>
      </c>
      <c r="AN23" s="2">
        <v>3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</row>
    <row r="24" spans="1:55" x14ac:dyDescent="0.25">
      <c r="A24" s="2" t="s">
        <v>19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30</v>
      </c>
      <c r="V24" s="2">
        <v>0</v>
      </c>
      <c r="W24" s="2">
        <v>0</v>
      </c>
      <c r="X24" s="2">
        <v>15</v>
      </c>
      <c r="Y24" s="2">
        <v>0</v>
      </c>
      <c r="Z24" s="2">
        <v>48</v>
      </c>
      <c r="AA24" s="2">
        <v>0</v>
      </c>
      <c r="AB24" s="2">
        <v>0</v>
      </c>
      <c r="AC24" s="2">
        <v>3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2</v>
      </c>
      <c r="AO24" s="2">
        <v>0</v>
      </c>
      <c r="AP24" s="2">
        <v>2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</row>
    <row r="25" spans="1:55" x14ac:dyDescent="0.25">
      <c r="A25" s="2" t="s">
        <v>20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77</v>
      </c>
      <c r="V25" s="2">
        <v>0</v>
      </c>
      <c r="W25" s="2">
        <v>0</v>
      </c>
      <c r="X25" s="2">
        <v>4</v>
      </c>
      <c r="Y25" s="2">
        <v>0</v>
      </c>
      <c r="Z25" s="2">
        <v>15</v>
      </c>
      <c r="AA25" s="2">
        <v>0</v>
      </c>
      <c r="AB25" s="2">
        <v>0</v>
      </c>
      <c r="AC25" s="2">
        <v>4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</row>
    <row r="26" spans="1:55" x14ac:dyDescent="0.25">
      <c r="A26" s="2" t="s">
        <v>21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22</v>
      </c>
      <c r="V26" s="2">
        <v>0</v>
      </c>
      <c r="W26" s="2">
        <v>0</v>
      </c>
      <c r="X26" s="2">
        <v>0</v>
      </c>
      <c r="Y26" s="2">
        <v>0</v>
      </c>
      <c r="Z26" s="2">
        <v>9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62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</row>
    <row r="27" spans="1:55" x14ac:dyDescent="0.25">
      <c r="A27" s="2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67</v>
      </c>
      <c r="V27" s="2">
        <v>0</v>
      </c>
      <c r="W27" s="2">
        <v>0</v>
      </c>
      <c r="X27" s="2">
        <v>0</v>
      </c>
      <c r="Y27" s="2">
        <v>0</v>
      </c>
      <c r="Z27" s="2">
        <v>15</v>
      </c>
      <c r="AA27" s="2">
        <v>1</v>
      </c>
      <c r="AB27" s="2">
        <v>0</v>
      </c>
      <c r="AC27" s="2">
        <v>5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6</v>
      </c>
      <c r="AN27" s="2">
        <v>6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</row>
    <row r="28" spans="1:55" x14ac:dyDescent="0.25">
      <c r="A28" s="2" t="s">
        <v>23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84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26</v>
      </c>
      <c r="V28" s="2">
        <v>0</v>
      </c>
      <c r="W28" s="2">
        <v>0</v>
      </c>
      <c r="X28" s="2">
        <v>0</v>
      </c>
      <c r="Y28" s="2">
        <v>0</v>
      </c>
      <c r="Z28" s="2">
        <v>38</v>
      </c>
      <c r="AA28" s="2">
        <v>31</v>
      </c>
      <c r="AB28" s="2">
        <v>0</v>
      </c>
      <c r="AC28" s="2">
        <v>5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</row>
    <row r="29" spans="1:55" x14ac:dyDescent="0.25">
      <c r="A29" s="2" t="s">
        <v>24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52</v>
      </c>
      <c r="V29" s="2">
        <v>0</v>
      </c>
      <c r="W29" s="2">
        <v>0</v>
      </c>
      <c r="X29" s="2">
        <v>0</v>
      </c>
      <c r="Y29" s="2">
        <v>0</v>
      </c>
      <c r="Z29" s="2">
        <v>47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</row>
    <row r="30" spans="1:55" x14ac:dyDescent="0.25">
      <c r="A30" s="2" t="s">
        <v>25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27</v>
      </c>
      <c r="T30" s="2">
        <v>0</v>
      </c>
      <c r="U30" s="2">
        <v>5</v>
      </c>
      <c r="V30" s="2">
        <v>0</v>
      </c>
      <c r="W30" s="2">
        <v>0</v>
      </c>
      <c r="X30" s="2">
        <v>0</v>
      </c>
      <c r="Y30" s="2">
        <v>0</v>
      </c>
      <c r="Z30" s="2">
        <v>22</v>
      </c>
      <c r="AA30" s="2">
        <v>0</v>
      </c>
      <c r="AB30" s="2">
        <v>0</v>
      </c>
      <c r="AC30" s="2">
        <v>36</v>
      </c>
      <c r="AD30" s="2">
        <v>20</v>
      </c>
      <c r="AE30" s="2">
        <v>16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</row>
    <row r="31" spans="1:55" x14ac:dyDescent="0.25">
      <c r="A31" s="2" t="s">
        <v>26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66</v>
      </c>
      <c r="AA31" s="2">
        <v>0</v>
      </c>
      <c r="AB31" s="2">
        <v>0</v>
      </c>
      <c r="AC31" s="2">
        <v>0</v>
      </c>
      <c r="AD31" s="2">
        <v>0</v>
      </c>
      <c r="AE31" s="2">
        <v>34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</row>
    <row r="32" spans="1:55" x14ac:dyDescent="0.25">
      <c r="A32" s="2" t="s">
        <v>27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</v>
      </c>
      <c r="V32" s="2">
        <v>0</v>
      </c>
      <c r="W32" s="2">
        <v>0</v>
      </c>
      <c r="X32" s="2">
        <v>0</v>
      </c>
      <c r="Y32" s="2">
        <v>13</v>
      </c>
      <c r="Z32" s="2">
        <v>56</v>
      </c>
      <c r="AA32" s="2">
        <v>0</v>
      </c>
      <c r="AB32" s="2">
        <v>0</v>
      </c>
      <c r="AC32" s="2">
        <v>0</v>
      </c>
      <c r="AD32" s="2">
        <v>14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15</v>
      </c>
      <c r="BC32" s="2">
        <v>0</v>
      </c>
    </row>
    <row r="33" spans="1:55" x14ac:dyDescent="0.25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25</v>
      </c>
      <c r="V33" s="2">
        <v>0</v>
      </c>
      <c r="W33" s="2">
        <v>0</v>
      </c>
      <c r="X33" s="2">
        <v>17</v>
      </c>
      <c r="Y33" s="2">
        <v>20</v>
      </c>
      <c r="Z33" s="2">
        <v>20</v>
      </c>
      <c r="AA33" s="2">
        <v>0</v>
      </c>
      <c r="AB33" s="2">
        <v>0</v>
      </c>
      <c r="AC33" s="2">
        <v>0</v>
      </c>
      <c r="AD33" s="2">
        <v>1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6</v>
      </c>
      <c r="AO33" s="2">
        <v>0</v>
      </c>
      <c r="AP33" s="2">
        <v>0</v>
      </c>
      <c r="AQ33" s="2">
        <v>0</v>
      </c>
      <c r="AR33" s="2">
        <v>0</v>
      </c>
      <c r="AS33" s="2">
        <v>7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</row>
    <row r="34" spans="1:55" x14ac:dyDescent="0.25">
      <c r="A34" s="2" t="s">
        <v>29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34</v>
      </c>
      <c r="V34" s="2">
        <v>0</v>
      </c>
      <c r="W34" s="2">
        <v>0</v>
      </c>
      <c r="X34" s="2">
        <v>0</v>
      </c>
      <c r="Y34" s="2">
        <v>0</v>
      </c>
      <c r="Z34" s="2">
        <v>66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</row>
    <row r="35" spans="1:55" x14ac:dyDescent="0.25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15</v>
      </c>
      <c r="V35" s="2">
        <v>0</v>
      </c>
      <c r="W35" s="2">
        <v>0</v>
      </c>
      <c r="X35" s="2">
        <v>0</v>
      </c>
      <c r="Y35" s="2">
        <v>78</v>
      </c>
      <c r="Z35" s="2">
        <v>17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</row>
    <row r="36" spans="1:55" x14ac:dyDescent="0.25">
      <c r="A36" s="2" t="s">
        <v>31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41</v>
      </c>
      <c r="V36" s="2">
        <v>0</v>
      </c>
      <c r="W36" s="2">
        <v>0</v>
      </c>
      <c r="X36" s="2">
        <v>0</v>
      </c>
      <c r="Y36" s="2">
        <v>13</v>
      </c>
      <c r="Z36" s="2">
        <v>35</v>
      </c>
      <c r="AA36" s="2">
        <v>7</v>
      </c>
      <c r="AB36" s="2">
        <v>0</v>
      </c>
      <c r="AC36" s="2">
        <v>4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</row>
    <row r="37" spans="1:55" x14ac:dyDescent="0.25">
      <c r="A37" s="2" t="s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19</v>
      </c>
      <c r="V37" s="2">
        <v>0</v>
      </c>
      <c r="W37" s="2">
        <v>0</v>
      </c>
      <c r="X37" s="2">
        <v>0</v>
      </c>
      <c r="Y37" s="2">
        <v>10</v>
      </c>
      <c r="Z37" s="2">
        <v>58</v>
      </c>
      <c r="AA37" s="2">
        <v>3</v>
      </c>
      <c r="AB37" s="2">
        <v>0</v>
      </c>
      <c r="AC37" s="2">
        <v>0</v>
      </c>
      <c r="AD37" s="2">
        <v>10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</row>
    <row r="38" spans="1:55" x14ac:dyDescent="0.25">
      <c r="A38" s="2" t="s">
        <v>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31</v>
      </c>
      <c r="V38" s="2">
        <v>0</v>
      </c>
      <c r="W38" s="2">
        <v>0</v>
      </c>
      <c r="X38" s="2">
        <v>0</v>
      </c>
      <c r="Y38" s="2">
        <v>9</v>
      </c>
      <c r="Z38" s="2">
        <v>53</v>
      </c>
      <c r="AA38" s="2">
        <v>3</v>
      </c>
      <c r="AB38" s="2">
        <v>0</v>
      </c>
      <c r="AC38" s="2">
        <v>4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</row>
    <row r="39" spans="1:55" x14ac:dyDescent="0.25">
      <c r="A39" s="2" t="s">
        <v>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5</v>
      </c>
      <c r="V39" s="2">
        <v>0</v>
      </c>
      <c r="W39" s="2">
        <v>0</v>
      </c>
      <c r="X39" s="2">
        <v>0</v>
      </c>
      <c r="Y39" s="2">
        <v>37</v>
      </c>
      <c r="Z39" s="2">
        <v>53</v>
      </c>
      <c r="AA39" s="2">
        <v>0</v>
      </c>
      <c r="AB39" s="2">
        <v>0</v>
      </c>
      <c r="AC39" s="2">
        <v>0</v>
      </c>
      <c r="AD39" s="2">
        <v>5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</row>
    <row r="40" spans="1:55" x14ac:dyDescent="0.25">
      <c r="A40" s="2" t="s">
        <v>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5</v>
      </c>
      <c r="V40" s="2">
        <v>0</v>
      </c>
      <c r="W40" s="2">
        <v>0</v>
      </c>
      <c r="X40" s="2">
        <v>0</v>
      </c>
      <c r="Y40" s="2">
        <v>12</v>
      </c>
      <c r="Z40" s="2">
        <v>6</v>
      </c>
      <c r="AA40" s="2">
        <v>44</v>
      </c>
      <c r="AB40" s="2">
        <v>0</v>
      </c>
      <c r="AC40" s="2">
        <v>33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</row>
    <row r="41" spans="1:55" x14ac:dyDescent="0.25">
      <c r="A41" s="2" t="s">
        <v>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58</v>
      </c>
      <c r="V41" s="2">
        <v>0</v>
      </c>
      <c r="W41" s="2">
        <v>0</v>
      </c>
      <c r="X41" s="2">
        <v>0</v>
      </c>
      <c r="Y41" s="2">
        <v>31</v>
      </c>
      <c r="Z41" s="2">
        <v>9</v>
      </c>
      <c r="AA41" s="2">
        <v>0</v>
      </c>
      <c r="AB41" s="2">
        <v>0</v>
      </c>
      <c r="AC41" s="2">
        <v>2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</row>
    <row r="42" spans="1:55" x14ac:dyDescent="0.25">
      <c r="A42" s="2" t="s">
        <v>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51</v>
      </c>
      <c r="V42" s="2">
        <v>0</v>
      </c>
      <c r="W42" s="2">
        <v>0</v>
      </c>
      <c r="X42" s="2">
        <v>0</v>
      </c>
      <c r="Y42" s="2">
        <v>0</v>
      </c>
      <c r="Z42" s="2">
        <v>39</v>
      </c>
      <c r="AA42" s="2">
        <v>0</v>
      </c>
      <c r="AB42" s="2">
        <v>4</v>
      </c>
      <c r="AC42" s="2">
        <v>6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</row>
    <row r="43" spans="1:55" x14ac:dyDescent="0.25">
      <c r="A43" s="2" t="s">
        <v>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35</v>
      </c>
      <c r="V43" s="2">
        <v>0</v>
      </c>
      <c r="W43" s="2">
        <v>0</v>
      </c>
      <c r="X43" s="2">
        <v>0</v>
      </c>
      <c r="Y43" s="2">
        <v>0</v>
      </c>
      <c r="Z43" s="2">
        <v>57</v>
      </c>
      <c r="AA43" s="2">
        <v>8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</row>
    <row r="44" spans="1:55" x14ac:dyDescent="0.25">
      <c r="A44" s="2" t="s">
        <v>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</v>
      </c>
      <c r="V44" s="2">
        <v>0</v>
      </c>
      <c r="W44" s="2">
        <v>0</v>
      </c>
      <c r="X44" s="2">
        <v>0</v>
      </c>
      <c r="Y44" s="2">
        <v>6</v>
      </c>
      <c r="Z44" s="2">
        <v>78</v>
      </c>
      <c r="AA44" s="2">
        <v>0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3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</row>
    <row r="45" spans="1:55" x14ac:dyDescent="0.25">
      <c r="A45" s="2" t="s">
        <v>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98</v>
      </c>
      <c r="L45" s="2">
        <v>0</v>
      </c>
      <c r="M45" s="2">
        <v>0</v>
      </c>
      <c r="N45" s="2">
        <v>0</v>
      </c>
      <c r="O45" s="2">
        <v>0</v>
      </c>
      <c r="P45" s="2">
        <v>2</v>
      </c>
      <c r="Q45" s="2">
        <v>0</v>
      </c>
      <c r="R45" s="2">
        <v>0</v>
      </c>
      <c r="S45" s="2">
        <v>0</v>
      </c>
      <c r="T45" s="2">
        <v>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29</v>
      </c>
      <c r="AA45" s="2">
        <v>0</v>
      </c>
      <c r="AB45" s="2">
        <v>0</v>
      </c>
      <c r="AC45" s="2">
        <v>31</v>
      </c>
      <c r="AD45" s="2">
        <v>20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</row>
    <row r="46" spans="1:55" x14ac:dyDescent="0.25">
      <c r="A46" s="2" t="s">
        <v>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9</v>
      </c>
      <c r="V46" s="2">
        <v>1</v>
      </c>
      <c r="W46" s="2">
        <v>0</v>
      </c>
      <c r="X46" s="2">
        <v>0</v>
      </c>
      <c r="Y46" s="2">
        <v>78</v>
      </c>
      <c r="Z46" s="2">
        <v>8</v>
      </c>
      <c r="AA46" s="2">
        <v>0</v>
      </c>
      <c r="AB46" s="2">
        <v>0</v>
      </c>
      <c r="AC46" s="2">
        <v>4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</row>
    <row r="47" spans="1:55" x14ac:dyDescent="0.25">
      <c r="A47" s="2" t="s">
        <v>42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34</v>
      </c>
      <c r="V47" s="2">
        <v>0</v>
      </c>
      <c r="W47" s="2">
        <v>0</v>
      </c>
      <c r="X47" s="2">
        <v>0</v>
      </c>
      <c r="Y47" s="2">
        <v>0</v>
      </c>
      <c r="Z47" s="2">
        <v>62</v>
      </c>
      <c r="AA47" s="2">
        <v>4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</row>
    <row r="48" spans="1:55" x14ac:dyDescent="0.25">
      <c r="A48" s="2" t="s">
        <v>43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15</v>
      </c>
      <c r="V48" s="2">
        <v>0</v>
      </c>
      <c r="W48" s="2">
        <v>0</v>
      </c>
      <c r="X48" s="2">
        <v>4</v>
      </c>
      <c r="Y48" s="2">
        <v>24</v>
      </c>
      <c r="Z48" s="2">
        <v>55</v>
      </c>
      <c r="AA48" s="2">
        <v>0</v>
      </c>
      <c r="AB48" s="2">
        <v>0</v>
      </c>
      <c r="AC48" s="2">
        <v>0</v>
      </c>
      <c r="AD48" s="2">
        <v>1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2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</row>
    <row r="49" spans="1:55" x14ac:dyDescent="0.25">
      <c r="A49" s="2" t="s">
        <v>44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14</v>
      </c>
      <c r="V49" s="2">
        <v>0</v>
      </c>
      <c r="W49" s="2">
        <v>0</v>
      </c>
      <c r="X49" s="2">
        <v>0</v>
      </c>
      <c r="Y49" s="2">
        <v>0</v>
      </c>
      <c r="Z49" s="2">
        <v>80</v>
      </c>
      <c r="AA49" s="2">
        <v>0</v>
      </c>
      <c r="AB49" s="2">
        <v>0</v>
      </c>
      <c r="AC49" s="2">
        <v>0</v>
      </c>
      <c r="AD49" s="2">
        <v>6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</row>
    <row r="50" spans="1:55" x14ac:dyDescent="0.25">
      <c r="A50" s="2" t="s">
        <v>45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21</v>
      </c>
      <c r="V50" s="2">
        <v>0</v>
      </c>
      <c r="W50" s="2">
        <v>0</v>
      </c>
      <c r="X50" s="2">
        <v>20</v>
      </c>
      <c r="Y50" s="2">
        <v>2</v>
      </c>
      <c r="Z50" s="2">
        <v>45</v>
      </c>
      <c r="AA50" s="2">
        <v>0</v>
      </c>
      <c r="AB50" s="2">
        <v>0</v>
      </c>
      <c r="AC50" s="2">
        <v>1</v>
      </c>
      <c r="AD50" s="2">
        <v>5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4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2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</row>
    <row r="51" spans="1:55" x14ac:dyDescent="0.25">
      <c r="A51" s="2" t="s">
        <v>46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19</v>
      </c>
      <c r="Y51" s="2">
        <v>0</v>
      </c>
      <c r="Z51" s="2">
        <v>73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2</v>
      </c>
      <c r="AO51" s="2">
        <v>0</v>
      </c>
      <c r="AP51" s="2">
        <v>0</v>
      </c>
      <c r="AQ51" s="2">
        <v>0</v>
      </c>
      <c r="AR51" s="2">
        <v>0</v>
      </c>
      <c r="AS51" s="2">
        <v>5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</row>
    <row r="52" spans="1:55" x14ac:dyDescent="0.25">
      <c r="A52" s="2" t="s">
        <v>47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88</v>
      </c>
      <c r="AA52" s="2">
        <v>12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</row>
    <row r="53" spans="1:55" x14ac:dyDescent="0.25">
      <c r="A53" s="2" t="s">
        <v>48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</v>
      </c>
      <c r="W53" s="2">
        <v>0</v>
      </c>
      <c r="X53" s="2">
        <v>4</v>
      </c>
      <c r="Y53" s="2">
        <v>0</v>
      </c>
      <c r="Z53" s="2">
        <v>78</v>
      </c>
      <c r="AA53" s="2">
        <v>16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</row>
    <row r="54" spans="1:55" x14ac:dyDescent="0.25">
      <c r="A54" s="2" t="s">
        <v>49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</v>
      </c>
      <c r="V54" s="2">
        <v>0</v>
      </c>
      <c r="W54" s="2">
        <v>0</v>
      </c>
      <c r="X54" s="2">
        <v>0</v>
      </c>
      <c r="Y54" s="2">
        <v>0</v>
      </c>
      <c r="Z54" s="2">
        <v>98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</row>
    <row r="55" spans="1:55" x14ac:dyDescent="0.25">
      <c r="A55" s="2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</v>
      </c>
      <c r="V55" s="2">
        <v>0</v>
      </c>
      <c r="W55" s="2">
        <v>0</v>
      </c>
      <c r="X55" s="2">
        <v>6</v>
      </c>
      <c r="Y55" s="2">
        <v>0</v>
      </c>
      <c r="Z55" s="2">
        <v>92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</row>
    <row r="56" spans="1:55" x14ac:dyDescent="0.25">
      <c r="A56" s="2" t="s">
        <v>51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18</v>
      </c>
      <c r="Y56" s="2">
        <v>0</v>
      </c>
      <c r="Z56" s="2">
        <v>76</v>
      </c>
      <c r="AA56" s="2">
        <v>0</v>
      </c>
      <c r="AB56" s="2">
        <v>0</v>
      </c>
      <c r="AC56" s="2">
        <v>0</v>
      </c>
      <c r="AD56" s="2">
        <v>5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</row>
    <row r="57" spans="1:55" x14ac:dyDescent="0.25">
      <c r="A57" s="2" t="s">
        <v>52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3</v>
      </c>
      <c r="T57" s="2">
        <v>0</v>
      </c>
      <c r="U57" s="2">
        <v>0</v>
      </c>
      <c r="V57" s="2">
        <v>0</v>
      </c>
      <c r="W57" s="2">
        <v>0</v>
      </c>
      <c r="X57" s="2">
        <v>2</v>
      </c>
      <c r="Y57" s="2">
        <v>0</v>
      </c>
      <c r="Z57" s="2">
        <v>51</v>
      </c>
      <c r="AA57" s="2">
        <v>0</v>
      </c>
      <c r="AB57" s="2">
        <v>0</v>
      </c>
      <c r="AC57" s="2">
        <v>0</v>
      </c>
      <c r="AD57" s="2">
        <v>36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2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</row>
    <row r="58" spans="1:55" x14ac:dyDescent="0.25">
      <c r="A58" s="2" t="s">
        <v>53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5</v>
      </c>
      <c r="V58" s="2">
        <v>0</v>
      </c>
      <c r="W58" s="2">
        <v>0</v>
      </c>
      <c r="X58" s="2">
        <v>10</v>
      </c>
      <c r="Y58" s="2">
        <v>0</v>
      </c>
      <c r="Z58" s="2">
        <v>82</v>
      </c>
      <c r="AA58" s="2">
        <v>0</v>
      </c>
      <c r="AB58" s="2">
        <v>0</v>
      </c>
      <c r="AC58" s="2">
        <v>0</v>
      </c>
      <c r="AD58" s="2">
        <v>3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</row>
    <row r="59" spans="1:55" x14ac:dyDescent="0.25">
      <c r="A59" s="2" t="s">
        <v>54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23</v>
      </c>
      <c r="V59" s="2">
        <v>0</v>
      </c>
      <c r="W59" s="2">
        <v>0</v>
      </c>
      <c r="X59" s="2">
        <v>0</v>
      </c>
      <c r="Y59" s="2">
        <v>0</v>
      </c>
      <c r="Z59" s="2">
        <v>60</v>
      </c>
      <c r="AA59" s="2">
        <v>0</v>
      </c>
      <c r="AB59" s="2">
        <v>0</v>
      </c>
      <c r="AC59" s="2">
        <v>0</v>
      </c>
      <c r="AD59" s="2">
        <v>17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</row>
    <row r="60" spans="1:55" x14ac:dyDescent="0.25">
      <c r="A60" s="2" t="s">
        <v>55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35</v>
      </c>
      <c r="V60" s="2">
        <v>0</v>
      </c>
      <c r="W60" s="2">
        <v>0</v>
      </c>
      <c r="X60" s="2">
        <v>0</v>
      </c>
      <c r="Y60" s="2">
        <v>0</v>
      </c>
      <c r="Z60" s="2">
        <v>55</v>
      </c>
      <c r="AA60" s="2">
        <v>10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</row>
    <row r="61" spans="1:55" x14ac:dyDescent="0.25">
      <c r="A61" s="2" t="s">
        <v>56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48</v>
      </c>
      <c r="V61" s="2">
        <v>0</v>
      </c>
      <c r="W61" s="2">
        <v>0</v>
      </c>
      <c r="X61" s="2">
        <v>0</v>
      </c>
      <c r="Y61" s="2">
        <v>0</v>
      </c>
      <c r="Z61" s="2">
        <v>34</v>
      </c>
      <c r="AA61" s="2">
        <v>11</v>
      </c>
      <c r="AB61" s="2">
        <v>0</v>
      </c>
      <c r="AC61" s="2">
        <v>7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</row>
    <row r="62" spans="1:55" x14ac:dyDescent="0.25">
      <c r="A62" s="2" t="s">
        <v>57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44</v>
      </c>
      <c r="V62" s="2">
        <v>0</v>
      </c>
      <c r="W62" s="2">
        <v>0</v>
      </c>
      <c r="X62" s="2">
        <v>0</v>
      </c>
      <c r="Y62" s="2">
        <v>17</v>
      </c>
      <c r="Z62" s="2">
        <v>32</v>
      </c>
      <c r="AA62" s="2">
        <v>0</v>
      </c>
      <c r="AB62" s="2">
        <v>0</v>
      </c>
      <c r="AC62" s="2">
        <v>2</v>
      </c>
      <c r="AD62" s="2">
        <v>5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</row>
    <row r="63" spans="1:55" x14ac:dyDescent="0.25">
      <c r="A63" s="2" t="s">
        <v>58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6</v>
      </c>
      <c r="V63" s="2">
        <v>0</v>
      </c>
      <c r="W63" s="2">
        <v>0</v>
      </c>
      <c r="X63" s="2">
        <v>6</v>
      </c>
      <c r="Y63" s="2">
        <v>0</v>
      </c>
      <c r="Z63" s="2">
        <v>60</v>
      </c>
      <c r="AA63" s="2">
        <v>26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2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</row>
    <row r="64" spans="1:55" x14ac:dyDescent="0.25">
      <c r="A64" s="2" t="s">
        <v>59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16</v>
      </c>
      <c r="V64" s="2">
        <v>0</v>
      </c>
      <c r="W64" s="2">
        <v>0</v>
      </c>
      <c r="X64" s="2">
        <v>6</v>
      </c>
      <c r="Y64" s="2">
        <v>10</v>
      </c>
      <c r="Z64" s="2">
        <v>66</v>
      </c>
      <c r="AA64" s="2">
        <v>2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</row>
    <row r="65" spans="1:55" x14ac:dyDescent="0.25">
      <c r="A65" s="2" t="s">
        <v>60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34</v>
      </c>
      <c r="V65" s="2">
        <v>0</v>
      </c>
      <c r="W65" s="2">
        <v>0</v>
      </c>
      <c r="X65" s="2">
        <v>2</v>
      </c>
      <c r="Y65" s="2">
        <v>6</v>
      </c>
      <c r="Z65" s="2">
        <v>58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</row>
    <row r="66" spans="1:55" x14ac:dyDescent="0.25">
      <c r="A66" s="2" t="s">
        <v>61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24</v>
      </c>
      <c r="V66" s="2">
        <v>0</v>
      </c>
      <c r="W66" s="2">
        <v>0</v>
      </c>
      <c r="X66" s="2">
        <v>0</v>
      </c>
      <c r="Y66" s="2">
        <v>16</v>
      </c>
      <c r="Z66" s="2">
        <v>50</v>
      </c>
      <c r="AA66" s="2">
        <v>10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</row>
    <row r="67" spans="1:55" x14ac:dyDescent="0.25">
      <c r="A67" s="2" t="s">
        <v>62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40</v>
      </c>
      <c r="V67" s="2">
        <v>0</v>
      </c>
      <c r="W67" s="2">
        <v>0</v>
      </c>
      <c r="X67" s="2">
        <v>0</v>
      </c>
      <c r="Y67" s="2">
        <v>19</v>
      </c>
      <c r="Z67" s="2">
        <v>41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</row>
    <row r="68" spans="1:55" x14ac:dyDescent="0.25">
      <c r="A68" s="2" t="s">
        <v>63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28</v>
      </c>
      <c r="V68" s="2">
        <v>0</v>
      </c>
      <c r="W68" s="2">
        <v>0</v>
      </c>
      <c r="X68" s="2">
        <v>0</v>
      </c>
      <c r="Y68" s="2">
        <v>0</v>
      </c>
      <c r="Z68" s="2">
        <v>72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</row>
    <row r="69" spans="1:55" x14ac:dyDescent="0.25">
      <c r="A69" s="2" t="s">
        <v>64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24</v>
      </c>
      <c r="V69" s="2">
        <v>0</v>
      </c>
      <c r="W69" s="2">
        <v>0</v>
      </c>
      <c r="X69" s="2">
        <v>0</v>
      </c>
      <c r="Y69" s="2">
        <v>60</v>
      </c>
      <c r="Z69" s="2">
        <v>4</v>
      </c>
      <c r="AA69" s="2">
        <v>0</v>
      </c>
      <c r="AB69" s="2">
        <v>12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</row>
    <row r="70" spans="1:55" x14ac:dyDescent="0.25">
      <c r="A70" s="2" t="s">
        <v>65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15</v>
      </c>
      <c r="V70" s="2">
        <v>2</v>
      </c>
      <c r="W70" s="2">
        <v>0</v>
      </c>
      <c r="X70" s="2">
        <v>0</v>
      </c>
      <c r="Y70" s="2">
        <v>42</v>
      </c>
      <c r="Z70" s="2">
        <v>23</v>
      </c>
      <c r="AA70" s="2">
        <v>17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</row>
    <row r="71" spans="1:55" x14ac:dyDescent="0.25">
      <c r="A71" s="2" t="s">
        <v>66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15</v>
      </c>
      <c r="V71" s="2">
        <v>0</v>
      </c>
      <c r="W71" s="2">
        <v>0</v>
      </c>
      <c r="X71" s="2">
        <v>0</v>
      </c>
      <c r="Y71" s="2">
        <v>63</v>
      </c>
      <c r="Z71" s="2">
        <v>12</v>
      </c>
      <c r="AA71" s="2">
        <v>10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</row>
    <row r="72" spans="1:55" x14ac:dyDescent="0.25">
      <c r="A72" s="2" t="s">
        <v>67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30</v>
      </c>
      <c r="V72" s="2">
        <v>0</v>
      </c>
      <c r="W72" s="2">
        <v>0</v>
      </c>
      <c r="X72" s="2">
        <v>0</v>
      </c>
      <c r="Y72" s="2">
        <v>66</v>
      </c>
      <c r="Z72" s="2">
        <v>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</row>
    <row r="73" spans="1:55" x14ac:dyDescent="0.25">
      <c r="A73" s="2" t="s">
        <v>68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12</v>
      </c>
      <c r="V73" s="2">
        <v>0</v>
      </c>
      <c r="W73" s="2">
        <v>0</v>
      </c>
      <c r="X73" s="2">
        <v>2</v>
      </c>
      <c r="Y73" s="2">
        <v>0</v>
      </c>
      <c r="Z73" s="2">
        <v>28</v>
      </c>
      <c r="AA73" s="2">
        <v>52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6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</row>
    <row r="74" spans="1:55" x14ac:dyDescent="0.25">
      <c r="A74" s="2" t="s">
        <v>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5</v>
      </c>
      <c r="V74" s="2">
        <v>0</v>
      </c>
      <c r="W74" s="2">
        <v>0</v>
      </c>
      <c r="X74" s="2">
        <v>2</v>
      </c>
      <c r="Y74" s="2">
        <v>0</v>
      </c>
      <c r="Z74" s="2">
        <v>18</v>
      </c>
      <c r="AA74" s="2">
        <v>75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</row>
    <row r="75" spans="1:55" x14ac:dyDescent="0.25">
      <c r="A75" s="2" t="s">
        <v>70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8</v>
      </c>
      <c r="V75" s="2">
        <v>0</v>
      </c>
      <c r="W75" s="2">
        <v>0</v>
      </c>
      <c r="X75" s="2">
        <v>1</v>
      </c>
      <c r="Y75" s="2">
        <v>0</v>
      </c>
      <c r="Z75" s="2">
        <v>40</v>
      </c>
      <c r="AA75" s="2">
        <v>37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2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12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</row>
    <row r="76" spans="1:55" x14ac:dyDescent="0.25">
      <c r="A76" s="2" t="s">
        <v>71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8</v>
      </c>
      <c r="V76" s="2">
        <v>0</v>
      </c>
      <c r="W76" s="2">
        <v>0</v>
      </c>
      <c r="X76" s="2">
        <v>7</v>
      </c>
      <c r="Y76" s="2">
        <v>68</v>
      </c>
      <c r="Z76" s="2">
        <v>15</v>
      </c>
      <c r="AA76" s="2">
        <v>2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</row>
    <row r="77" spans="1:55" x14ac:dyDescent="0.25">
      <c r="A77" s="2" t="s">
        <v>72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9</v>
      </c>
      <c r="V77" s="2">
        <v>0</v>
      </c>
      <c r="W77" s="2">
        <v>0</v>
      </c>
      <c r="X77" s="2">
        <v>4</v>
      </c>
      <c r="Y77" s="2">
        <v>14</v>
      </c>
      <c r="Z77" s="2">
        <v>69</v>
      </c>
      <c r="AA77" s="2">
        <v>4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</row>
    <row r="78" spans="1:55" x14ac:dyDescent="0.25">
      <c r="A78" s="2" t="s">
        <v>73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</v>
      </c>
      <c r="V78" s="2">
        <v>0</v>
      </c>
      <c r="W78" s="2">
        <v>0</v>
      </c>
      <c r="X78" s="2">
        <v>0</v>
      </c>
      <c r="Y78" s="2">
        <v>1</v>
      </c>
      <c r="Z78" s="2">
        <v>70</v>
      </c>
      <c r="AA78" s="2">
        <v>18</v>
      </c>
      <c r="AB78" s="2">
        <v>5</v>
      </c>
      <c r="AC78" s="2">
        <v>0</v>
      </c>
      <c r="AD78" s="2">
        <v>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1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</row>
    <row r="79" spans="1:55" x14ac:dyDescent="0.25">
      <c r="A79" s="2" t="s">
        <v>74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40</v>
      </c>
      <c r="V79" s="2">
        <v>0</v>
      </c>
      <c r="W79" s="2">
        <v>0</v>
      </c>
      <c r="X79" s="2">
        <v>5</v>
      </c>
      <c r="Y79" s="2">
        <v>0</v>
      </c>
      <c r="Z79" s="2">
        <v>53</v>
      </c>
      <c r="AA79" s="2">
        <v>2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</row>
    <row r="80" spans="1:55" x14ac:dyDescent="0.25">
      <c r="A80" s="2" t="s">
        <v>75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29</v>
      </c>
      <c r="V80" s="2">
        <v>0</v>
      </c>
      <c r="W80" s="2">
        <v>0</v>
      </c>
      <c r="X80" s="2">
        <v>0</v>
      </c>
      <c r="Y80" s="2">
        <v>3</v>
      </c>
      <c r="Z80" s="2">
        <v>58</v>
      </c>
      <c r="AA80" s="2">
        <v>9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1</v>
      </c>
    </row>
    <row r="81" spans="1:55" x14ac:dyDescent="0.25">
      <c r="A81" s="2" t="s">
        <v>76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13</v>
      </c>
      <c r="V81" s="2">
        <v>0</v>
      </c>
      <c r="W81" s="2">
        <v>0</v>
      </c>
      <c r="X81" s="2">
        <v>1</v>
      </c>
      <c r="Y81" s="2">
        <v>0</v>
      </c>
      <c r="Z81" s="2">
        <v>86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</row>
    <row r="82" spans="1:55" x14ac:dyDescent="0.25">
      <c r="A82" s="2" t="s">
        <v>77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7</v>
      </c>
      <c r="V82" s="2">
        <v>0</v>
      </c>
      <c r="W82" s="2">
        <v>0</v>
      </c>
      <c r="X82" s="2">
        <v>3</v>
      </c>
      <c r="Y82" s="2">
        <v>0</v>
      </c>
      <c r="Z82" s="2">
        <v>90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</row>
    <row r="83" spans="1:55" x14ac:dyDescent="0.25">
      <c r="A83" s="2" t="s">
        <v>78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10</v>
      </c>
      <c r="V83" s="2">
        <v>0</v>
      </c>
      <c r="W83" s="2">
        <v>0</v>
      </c>
      <c r="X83" s="2">
        <v>2</v>
      </c>
      <c r="Y83" s="2">
        <v>0</v>
      </c>
      <c r="Z83" s="2">
        <v>78</v>
      </c>
      <c r="AA83" s="2">
        <v>10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</row>
    <row r="84" spans="1:55" x14ac:dyDescent="0.25">
      <c r="A84" s="2" t="s">
        <v>79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14</v>
      </c>
      <c r="V84" s="2">
        <v>0</v>
      </c>
      <c r="W84" s="2">
        <v>0</v>
      </c>
      <c r="X84" s="2">
        <v>8</v>
      </c>
      <c r="Y84" s="2">
        <v>51</v>
      </c>
      <c r="Z84" s="2">
        <v>27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</row>
    <row r="85" spans="1:55" x14ac:dyDescent="0.25">
      <c r="A85" s="2" t="s">
        <v>80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33</v>
      </c>
      <c r="V85" s="2">
        <v>0</v>
      </c>
      <c r="W85" s="2">
        <v>0</v>
      </c>
      <c r="X85" s="2">
        <v>8</v>
      </c>
      <c r="Y85" s="2">
        <v>16</v>
      </c>
      <c r="Z85" s="2">
        <v>41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</row>
    <row r="86" spans="1:55" x14ac:dyDescent="0.25">
      <c r="A86" s="2" t="s">
        <v>81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0</v>
      </c>
      <c r="W86" s="2">
        <v>0</v>
      </c>
      <c r="X86" s="2">
        <v>7</v>
      </c>
      <c r="Y86" s="2">
        <v>0</v>
      </c>
      <c r="Z86" s="2">
        <v>44</v>
      </c>
      <c r="AA86" s="2">
        <v>35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2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1</v>
      </c>
      <c r="AO86" s="2">
        <v>0</v>
      </c>
      <c r="AP86" s="2">
        <v>2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</row>
    <row r="87" spans="1:55" x14ac:dyDescent="0.25">
      <c r="A87" s="2" t="s">
        <v>82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30</v>
      </c>
      <c r="V87" s="2">
        <v>0</v>
      </c>
      <c r="W87" s="2">
        <v>0</v>
      </c>
      <c r="X87" s="2">
        <v>8</v>
      </c>
      <c r="Y87" s="2">
        <v>0</v>
      </c>
      <c r="Z87" s="2">
        <v>59</v>
      </c>
      <c r="AA87" s="2">
        <v>3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</row>
    <row r="88" spans="1:55" x14ac:dyDescent="0.25">
      <c r="A88" s="2" t="s">
        <v>83</v>
      </c>
      <c r="B88" s="2">
        <v>1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52</v>
      </c>
      <c r="V88" s="2">
        <v>0</v>
      </c>
      <c r="W88" s="2">
        <v>0</v>
      </c>
      <c r="X88" s="2">
        <v>2</v>
      </c>
      <c r="Y88" s="2">
        <v>0</v>
      </c>
      <c r="Z88" s="2">
        <v>40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6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</row>
    <row r="89" spans="1:55" x14ac:dyDescent="0.25">
      <c r="A89" s="2" t="s">
        <v>84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19</v>
      </c>
      <c r="V89" s="2">
        <v>0</v>
      </c>
      <c r="W89" s="2">
        <v>0</v>
      </c>
      <c r="X89" s="2">
        <v>6</v>
      </c>
      <c r="Y89" s="2">
        <v>0</v>
      </c>
      <c r="Z89" s="2">
        <v>55</v>
      </c>
      <c r="AA89" s="2">
        <v>20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</row>
    <row r="90" spans="1:55" x14ac:dyDescent="0.25">
      <c r="A90" s="2" t="s">
        <v>85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</v>
      </c>
      <c r="V90" s="2">
        <v>0</v>
      </c>
      <c r="W90" s="2">
        <v>0</v>
      </c>
      <c r="X90" s="2">
        <v>10</v>
      </c>
      <c r="Y90" s="2">
        <v>47</v>
      </c>
      <c r="Z90" s="2">
        <v>20</v>
      </c>
      <c r="AA90" s="2">
        <v>19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</row>
    <row r="91" spans="1:55" x14ac:dyDescent="0.25">
      <c r="A91" s="2" t="s">
        <v>86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7</v>
      </c>
      <c r="V91" s="2">
        <v>0</v>
      </c>
      <c r="W91" s="2">
        <v>0</v>
      </c>
      <c r="X91" s="2">
        <v>0</v>
      </c>
      <c r="Y91" s="2">
        <v>0</v>
      </c>
      <c r="Z91" s="2">
        <v>68</v>
      </c>
      <c r="AA91" s="2">
        <v>0</v>
      </c>
      <c r="AB91" s="2">
        <v>0</v>
      </c>
      <c r="AC91" s="2">
        <v>25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</row>
    <row r="92" spans="1:55" x14ac:dyDescent="0.25">
      <c r="A92" s="2" t="s">
        <v>87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0</v>
      </c>
      <c r="W92" s="2">
        <v>0</v>
      </c>
      <c r="X92" s="2">
        <v>3</v>
      </c>
      <c r="Y92" s="2">
        <v>0</v>
      </c>
      <c r="Z92" s="2">
        <v>26</v>
      </c>
      <c r="AA92" s="2">
        <v>41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</row>
    <row r="93" spans="1:55" x14ac:dyDescent="0.25">
      <c r="A93" s="2" t="s">
        <v>88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67</v>
      </c>
      <c r="V93" s="2">
        <v>0</v>
      </c>
      <c r="W93" s="2">
        <v>0</v>
      </c>
      <c r="X93" s="2">
        <v>2</v>
      </c>
      <c r="Y93" s="2">
        <v>0</v>
      </c>
      <c r="Z93" s="2">
        <v>22</v>
      </c>
      <c r="AA93" s="2">
        <v>7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2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</row>
    <row r="94" spans="1:55" x14ac:dyDescent="0.25">
      <c r="A94" s="2" t="s">
        <v>89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29</v>
      </c>
      <c r="V94" s="2">
        <v>0</v>
      </c>
      <c r="W94" s="2">
        <v>0</v>
      </c>
      <c r="X94" s="2">
        <v>8</v>
      </c>
      <c r="Y94" s="2">
        <v>0</v>
      </c>
      <c r="Z94" s="2">
        <v>34</v>
      </c>
      <c r="AA94" s="2">
        <v>37</v>
      </c>
      <c r="AB94" s="2">
        <v>0</v>
      </c>
      <c r="AC94" s="2">
        <v>0</v>
      </c>
      <c r="AD94" s="2">
        <v>2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</row>
    <row r="95" spans="1:55" x14ac:dyDescent="0.25">
      <c r="A95" s="2" t="s">
        <v>90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15</v>
      </c>
      <c r="V95" s="2">
        <v>0</v>
      </c>
      <c r="W95" s="2">
        <v>0</v>
      </c>
      <c r="X95" s="2">
        <v>9</v>
      </c>
      <c r="Y95" s="2">
        <v>0</v>
      </c>
      <c r="Z95" s="2">
        <v>58</v>
      </c>
      <c r="AA95" s="2">
        <v>18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</row>
    <row r="96" spans="1:55" x14ac:dyDescent="0.25">
      <c r="A96" s="2" t="s">
        <v>91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19</v>
      </c>
      <c r="V96" s="2">
        <v>0</v>
      </c>
      <c r="W96" s="2">
        <v>0</v>
      </c>
      <c r="X96" s="2">
        <v>1</v>
      </c>
      <c r="Y96" s="2">
        <v>0</v>
      </c>
      <c r="Z96" s="2">
        <v>74</v>
      </c>
      <c r="AA96" s="2">
        <v>6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</row>
    <row r="97" spans="1:55" x14ac:dyDescent="0.25">
      <c r="A97" s="2" t="s">
        <v>92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37</v>
      </c>
      <c r="V97" s="2">
        <v>0</v>
      </c>
      <c r="W97" s="2">
        <v>0</v>
      </c>
      <c r="X97" s="2">
        <v>8</v>
      </c>
      <c r="Y97" s="2">
        <v>1</v>
      </c>
      <c r="Z97" s="2">
        <v>36</v>
      </c>
      <c r="AA97" s="2">
        <v>17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1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</row>
    <row r="98" spans="1:55" x14ac:dyDescent="0.25">
      <c r="A98" s="2" t="s">
        <v>93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28</v>
      </c>
      <c r="V98" s="2">
        <v>0</v>
      </c>
      <c r="W98" s="2">
        <v>0</v>
      </c>
      <c r="X98" s="2">
        <v>5</v>
      </c>
      <c r="Y98" s="2">
        <v>0</v>
      </c>
      <c r="Z98" s="2">
        <v>59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8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</row>
    <row r="99" spans="1:55" x14ac:dyDescent="0.25">
      <c r="A99" s="2" t="s">
        <v>94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</v>
      </c>
      <c r="V99" s="2">
        <v>0</v>
      </c>
      <c r="W99" s="2">
        <v>0</v>
      </c>
      <c r="X99" s="2">
        <v>2</v>
      </c>
      <c r="Y99" s="2">
        <v>4</v>
      </c>
      <c r="Z99" s="2">
        <v>45</v>
      </c>
      <c r="AA99" s="2">
        <v>24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</row>
    <row r="100" spans="1:55" x14ac:dyDescent="0.25">
      <c r="A100" s="2" t="s">
        <v>95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39</v>
      </c>
      <c r="V100" s="2">
        <v>2</v>
      </c>
      <c r="W100" s="2">
        <v>0</v>
      </c>
      <c r="X100" s="2">
        <v>9</v>
      </c>
      <c r="Y100" s="2">
        <v>1</v>
      </c>
      <c r="Z100" s="2">
        <v>42</v>
      </c>
      <c r="AA100" s="2">
        <v>3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4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</row>
    <row r="101" spans="1:55" x14ac:dyDescent="0.25">
      <c r="A101" s="2" t="s">
        <v>96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41</v>
      </c>
      <c r="V101" s="2">
        <v>0</v>
      </c>
      <c r="W101" s="2">
        <v>0</v>
      </c>
      <c r="X101" s="2">
        <v>9</v>
      </c>
      <c r="Y101" s="2">
        <v>32</v>
      </c>
      <c r="Z101" s="2">
        <v>9</v>
      </c>
      <c r="AA101" s="2">
        <v>9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</row>
    <row r="102" spans="1:55" x14ac:dyDescent="0.25">
      <c r="A102" s="2" t="s">
        <v>97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58</v>
      </c>
      <c r="V102" s="2">
        <v>0</v>
      </c>
      <c r="W102" s="2">
        <v>0</v>
      </c>
      <c r="X102" s="2">
        <v>0</v>
      </c>
      <c r="Y102" s="2">
        <v>0</v>
      </c>
      <c r="Z102" s="2">
        <v>39</v>
      </c>
      <c r="AA102" s="2">
        <v>3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</row>
    <row r="103" spans="1:55" x14ac:dyDescent="0.25">
      <c r="A103" s="2" t="s">
        <v>98</v>
      </c>
      <c r="B103" s="2">
        <v>0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14</v>
      </c>
      <c r="V103" s="2">
        <v>0</v>
      </c>
      <c r="W103" s="2">
        <v>0</v>
      </c>
      <c r="X103" s="2">
        <v>0</v>
      </c>
      <c r="Y103" s="2">
        <v>0</v>
      </c>
      <c r="Z103" s="2">
        <v>73</v>
      </c>
      <c r="AA103" s="2">
        <v>0</v>
      </c>
      <c r="AB103" s="2">
        <v>0</v>
      </c>
      <c r="AC103" s="2">
        <v>0</v>
      </c>
      <c r="AD103" s="2">
        <v>3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</row>
    <row r="104" spans="1:55" x14ac:dyDescent="0.25">
      <c r="A104" s="2" t="s">
        <v>99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90</v>
      </c>
      <c r="V104" s="2">
        <v>0</v>
      </c>
      <c r="W104" s="2">
        <v>0</v>
      </c>
      <c r="X104" s="2">
        <v>0</v>
      </c>
      <c r="Y104" s="2">
        <v>0</v>
      </c>
      <c r="Z104" s="2">
        <v>10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</row>
    <row r="105" spans="1:55" x14ac:dyDescent="0.25">
      <c r="A105" s="2" t="s">
        <v>100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20</v>
      </c>
      <c r="V105" s="2">
        <v>0</v>
      </c>
      <c r="W105" s="2">
        <v>0</v>
      </c>
      <c r="X105" s="2">
        <v>0</v>
      </c>
      <c r="Y105" s="2">
        <v>0</v>
      </c>
      <c r="Z105" s="2">
        <v>55</v>
      </c>
      <c r="AA105" s="2">
        <v>25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</row>
    <row r="106" spans="1:55" x14ac:dyDescent="0.25">
      <c r="A106" s="2" t="s">
        <v>101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7</v>
      </c>
      <c r="V106" s="2">
        <v>0</v>
      </c>
      <c r="W106" s="2">
        <v>0</v>
      </c>
      <c r="X106" s="2">
        <v>13</v>
      </c>
      <c r="Y106" s="2">
        <v>15</v>
      </c>
      <c r="Z106" s="2">
        <v>65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</row>
    <row r="107" spans="1:55" x14ac:dyDescent="0.25">
      <c r="A107" s="2" t="s">
        <v>102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16</v>
      </c>
      <c r="V107" s="2">
        <v>0</v>
      </c>
      <c r="W107" s="2">
        <v>0</v>
      </c>
      <c r="X107" s="2">
        <v>0</v>
      </c>
      <c r="Y107" s="2">
        <v>0</v>
      </c>
      <c r="Z107" s="2">
        <v>68</v>
      </c>
      <c r="AA107" s="2">
        <v>16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</row>
    <row r="108" spans="1:55" x14ac:dyDescent="0.25">
      <c r="A108" s="2" t="s">
        <v>103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15</v>
      </c>
      <c r="V108" s="2">
        <v>0</v>
      </c>
      <c r="W108" s="2">
        <v>0</v>
      </c>
      <c r="X108" s="2">
        <v>3</v>
      </c>
      <c r="Y108" s="2">
        <v>0</v>
      </c>
      <c r="Z108" s="2">
        <v>72</v>
      </c>
      <c r="AA108" s="2">
        <v>10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</row>
    <row r="109" spans="1:55" x14ac:dyDescent="0.25">
      <c r="A109" s="2" t="s">
        <v>104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14</v>
      </c>
      <c r="V109" s="2">
        <v>0</v>
      </c>
      <c r="W109" s="2">
        <v>0</v>
      </c>
      <c r="X109" s="2">
        <v>9</v>
      </c>
      <c r="Y109" s="2">
        <v>33</v>
      </c>
      <c r="Z109" s="2">
        <v>36</v>
      </c>
      <c r="AA109" s="2">
        <v>8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</row>
    <row r="110" spans="1:55" x14ac:dyDescent="0.25">
      <c r="A110" s="2" t="s">
        <v>105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11</v>
      </c>
      <c r="V110" s="2">
        <v>0</v>
      </c>
      <c r="W110" s="2">
        <v>0</v>
      </c>
      <c r="X110" s="2">
        <v>4</v>
      </c>
      <c r="Y110" s="2">
        <v>6</v>
      </c>
      <c r="Z110" s="2">
        <v>79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</row>
    <row r="111" spans="1:55" x14ac:dyDescent="0.25">
      <c r="A111" s="2" t="s">
        <v>106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19</v>
      </c>
      <c r="V111" s="2">
        <v>0</v>
      </c>
      <c r="W111" s="2">
        <v>0</v>
      </c>
      <c r="X111" s="2">
        <v>7</v>
      </c>
      <c r="Y111" s="2">
        <v>0</v>
      </c>
      <c r="Z111" s="2">
        <v>74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</row>
    <row r="112" spans="1:55" x14ac:dyDescent="0.25">
      <c r="A112" s="2" t="s">
        <v>107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53</v>
      </c>
      <c r="V112" s="2">
        <v>0</v>
      </c>
      <c r="W112" s="2">
        <v>0</v>
      </c>
      <c r="X112" s="2">
        <v>0</v>
      </c>
      <c r="Y112" s="2">
        <v>0</v>
      </c>
      <c r="Z112" s="2">
        <v>47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</row>
    <row r="113" spans="1:55" x14ac:dyDescent="0.25">
      <c r="A113" s="2" t="s">
        <v>108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58</v>
      </c>
      <c r="V113" s="2">
        <v>0</v>
      </c>
      <c r="W113" s="2">
        <v>0</v>
      </c>
      <c r="X113" s="2">
        <v>0</v>
      </c>
      <c r="Y113" s="2">
        <v>0</v>
      </c>
      <c r="Z113" s="2">
        <v>37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</row>
    <row r="114" spans="1:55" x14ac:dyDescent="0.25">
      <c r="A114" s="2" t="s">
        <v>109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53</v>
      </c>
      <c r="V114" s="2">
        <v>0</v>
      </c>
      <c r="W114" s="2">
        <v>0</v>
      </c>
      <c r="X114" s="2">
        <v>0</v>
      </c>
      <c r="Y114" s="2">
        <v>0</v>
      </c>
      <c r="Z114" s="2">
        <v>43</v>
      </c>
      <c r="AA114" s="2">
        <v>4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</row>
    <row r="115" spans="1:55" x14ac:dyDescent="0.25">
      <c r="A115" s="2" t="s">
        <v>110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8</v>
      </c>
      <c r="V115" s="2">
        <v>0</v>
      </c>
      <c r="W115" s="2">
        <v>0</v>
      </c>
      <c r="X115" s="2">
        <v>0</v>
      </c>
      <c r="Y115" s="2">
        <v>0</v>
      </c>
      <c r="Z115" s="2">
        <v>83</v>
      </c>
      <c r="AA115" s="2">
        <v>3</v>
      </c>
      <c r="AB115" s="2">
        <v>0</v>
      </c>
      <c r="AC115" s="2">
        <v>6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</row>
    <row r="116" spans="1:55" x14ac:dyDescent="0.25">
      <c r="A116" s="2" t="s">
        <v>111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48</v>
      </c>
      <c r="V116" s="2">
        <v>0</v>
      </c>
      <c r="W116" s="2">
        <v>0</v>
      </c>
      <c r="X116" s="2">
        <v>0</v>
      </c>
      <c r="Y116" s="2">
        <v>0</v>
      </c>
      <c r="Z116" s="2">
        <v>52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</row>
    <row r="117" spans="1:55" x14ac:dyDescent="0.25">
      <c r="A117" s="2" t="s">
        <v>112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41</v>
      </c>
      <c r="V117" s="2">
        <v>0</v>
      </c>
      <c r="W117" s="2">
        <v>0</v>
      </c>
      <c r="X117" s="2">
        <v>0</v>
      </c>
      <c r="Y117" s="2">
        <v>0</v>
      </c>
      <c r="Z117" s="2">
        <v>49</v>
      </c>
      <c r="AA117" s="2">
        <v>10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</row>
    <row r="118" spans="1:55" x14ac:dyDescent="0.25">
      <c r="A118" s="2" t="s">
        <v>113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13</v>
      </c>
      <c r="V118" s="2">
        <v>0</v>
      </c>
      <c r="W118" s="2">
        <v>0</v>
      </c>
      <c r="X118" s="2">
        <v>0</v>
      </c>
      <c r="Y118" s="2">
        <v>1</v>
      </c>
      <c r="Z118" s="2">
        <v>72</v>
      </c>
      <c r="AA118" s="2">
        <v>14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</row>
    <row r="119" spans="1:55" x14ac:dyDescent="0.25">
      <c r="A119" s="2" t="s">
        <v>114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8</v>
      </c>
      <c r="V119" s="2">
        <v>0</v>
      </c>
      <c r="W119" s="2">
        <v>0</v>
      </c>
      <c r="X119" s="2">
        <v>15</v>
      </c>
      <c r="Y119" s="2">
        <v>0</v>
      </c>
      <c r="Z119" s="2">
        <v>75</v>
      </c>
      <c r="AA119" s="2">
        <v>2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</row>
    <row r="120" spans="1:55" x14ac:dyDescent="0.25">
      <c r="A120" s="2" t="s">
        <v>115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7</v>
      </c>
      <c r="V120" s="2">
        <v>0</v>
      </c>
      <c r="W120" s="2">
        <v>0</v>
      </c>
      <c r="X120" s="2">
        <v>0</v>
      </c>
      <c r="Y120" s="2">
        <v>0</v>
      </c>
      <c r="Z120" s="2">
        <v>51</v>
      </c>
      <c r="AA120" s="2">
        <v>42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</row>
    <row r="121" spans="1:55" x14ac:dyDescent="0.25">
      <c r="A121" s="2" t="s">
        <v>116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24</v>
      </c>
      <c r="W121" s="2">
        <v>0</v>
      </c>
      <c r="X121" s="2">
        <v>8</v>
      </c>
      <c r="Y121" s="2">
        <v>4</v>
      </c>
      <c r="Z121" s="2">
        <v>27</v>
      </c>
      <c r="AA121" s="2">
        <v>3</v>
      </c>
      <c r="AB121" s="2">
        <v>0</v>
      </c>
      <c r="AC121" s="2">
        <v>0</v>
      </c>
      <c r="AD121" s="2">
        <v>0</v>
      </c>
      <c r="AE121" s="2">
        <v>0</v>
      </c>
      <c r="AF121" s="2">
        <v>3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30</v>
      </c>
      <c r="AO121" s="2">
        <v>0</v>
      </c>
      <c r="AP121" s="2">
        <v>0</v>
      </c>
      <c r="AQ121" s="2">
        <v>0</v>
      </c>
      <c r="AR121" s="2">
        <v>0</v>
      </c>
      <c r="AS121" s="2">
        <v>1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</row>
    <row r="122" spans="1:55" x14ac:dyDescent="0.25">
      <c r="A122" s="2" t="s">
        <v>117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97</v>
      </c>
      <c r="Z122" s="2">
        <v>1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2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</row>
    <row r="123" spans="1:55" x14ac:dyDescent="0.25">
      <c r="A123" s="2" t="s">
        <v>118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4</v>
      </c>
      <c r="V123" s="2">
        <v>90</v>
      </c>
      <c r="W123" s="2">
        <v>0</v>
      </c>
      <c r="X123" s="2">
        <v>0</v>
      </c>
      <c r="Y123" s="2">
        <v>0</v>
      </c>
      <c r="Z123" s="2">
        <v>6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</row>
    <row r="124" spans="1:55" x14ac:dyDescent="0.25">
      <c r="A124" s="2" t="s">
        <v>119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7</v>
      </c>
      <c r="V124" s="2">
        <v>0</v>
      </c>
      <c r="W124" s="2">
        <v>0</v>
      </c>
      <c r="X124" s="2">
        <v>6</v>
      </c>
      <c r="Y124" s="2">
        <v>13</v>
      </c>
      <c r="Z124" s="2">
        <v>74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</row>
    <row r="125" spans="1:55" x14ac:dyDescent="0.25">
      <c r="A125" s="2" t="s">
        <v>120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8</v>
      </c>
      <c r="V125" s="2">
        <v>32</v>
      </c>
      <c r="W125" s="2">
        <v>0</v>
      </c>
      <c r="X125" s="2">
        <v>10</v>
      </c>
      <c r="Y125" s="2">
        <v>13</v>
      </c>
      <c r="Z125" s="2">
        <v>30</v>
      </c>
      <c r="AA125" s="2">
        <v>0</v>
      </c>
      <c r="AB125" s="2">
        <v>0</v>
      </c>
      <c r="AC125" s="2">
        <v>0</v>
      </c>
      <c r="AD125" s="2">
        <v>4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1</v>
      </c>
      <c r="AO125" s="2">
        <v>0</v>
      </c>
      <c r="AP125" s="2">
        <v>0</v>
      </c>
      <c r="AQ125" s="2">
        <v>0</v>
      </c>
      <c r="AR125" s="2">
        <v>0</v>
      </c>
      <c r="AS125" s="2">
        <v>1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</row>
    <row r="126" spans="1:55" x14ac:dyDescent="0.25">
      <c r="A126" s="2" t="s">
        <v>121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34</v>
      </c>
      <c r="V126" s="2">
        <v>0</v>
      </c>
      <c r="W126" s="2">
        <v>0</v>
      </c>
      <c r="X126" s="2">
        <v>6</v>
      </c>
      <c r="Y126" s="2">
        <v>30</v>
      </c>
      <c r="Z126" s="2">
        <v>30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</row>
    <row r="127" spans="1:55" x14ac:dyDescent="0.25">
      <c r="A127" s="2" t="s">
        <v>122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19</v>
      </c>
      <c r="V127" s="2">
        <v>0</v>
      </c>
      <c r="W127" s="2">
        <v>0</v>
      </c>
      <c r="X127" s="2">
        <v>1</v>
      </c>
      <c r="Y127" s="2">
        <v>78</v>
      </c>
      <c r="Z127" s="2">
        <v>2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</row>
    <row r="128" spans="1:55" x14ac:dyDescent="0.25">
      <c r="A128" s="2" t="s">
        <v>123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18</v>
      </c>
      <c r="V128" s="2">
        <v>68</v>
      </c>
      <c r="W128" s="2">
        <v>0</v>
      </c>
      <c r="X128" s="2">
        <v>0</v>
      </c>
      <c r="Y128" s="2">
        <v>6</v>
      </c>
      <c r="Z128" s="2">
        <v>3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</row>
    <row r="129" spans="1:55" x14ac:dyDescent="0.25">
      <c r="A129" s="2" t="s">
        <v>124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13</v>
      </c>
      <c r="V129" s="2">
        <v>10</v>
      </c>
      <c r="W129" s="2">
        <v>0</v>
      </c>
      <c r="X129" s="2">
        <v>0</v>
      </c>
      <c r="Y129" s="2">
        <v>75</v>
      </c>
      <c r="Z129" s="2">
        <v>2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</row>
    <row r="130" spans="1:55" x14ac:dyDescent="0.25">
      <c r="A130" s="2" t="s">
        <v>125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2">
        <v>52</v>
      </c>
      <c r="V130" s="2">
        <v>0</v>
      </c>
      <c r="W130" s="2">
        <v>0</v>
      </c>
      <c r="X130" s="2">
        <v>0</v>
      </c>
      <c r="Y130" s="2">
        <v>0</v>
      </c>
      <c r="Z130" s="2">
        <v>47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</row>
    <row r="131" spans="1:55" x14ac:dyDescent="0.25">
      <c r="A131" s="2" t="s">
        <v>126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63</v>
      </c>
      <c r="V131" s="2">
        <v>0</v>
      </c>
      <c r="W131" s="2">
        <v>0</v>
      </c>
      <c r="X131" s="2">
        <v>2</v>
      </c>
      <c r="Y131" s="2">
        <v>30</v>
      </c>
      <c r="Z131" s="2">
        <v>5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</row>
    <row r="132" spans="1:55" x14ac:dyDescent="0.25">
      <c r="A132" s="2" t="s">
        <v>127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26</v>
      </c>
      <c r="V132" s="2">
        <v>0</v>
      </c>
      <c r="W132" s="2">
        <v>0</v>
      </c>
      <c r="X132" s="2">
        <v>3</v>
      </c>
      <c r="Y132" s="2">
        <v>24</v>
      </c>
      <c r="Z132" s="2">
        <v>47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</row>
    <row r="133" spans="1:55" x14ac:dyDescent="0.25">
      <c r="A133" s="2" t="s">
        <v>128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19</v>
      </c>
      <c r="V133" s="2">
        <v>0</v>
      </c>
      <c r="W133" s="2">
        <v>0</v>
      </c>
      <c r="X133" s="2">
        <v>11</v>
      </c>
      <c r="Y133" s="2">
        <v>1</v>
      </c>
      <c r="Z133" s="2">
        <v>64</v>
      </c>
      <c r="AA133" s="2">
        <v>5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</row>
    <row r="134" spans="1:55" x14ac:dyDescent="0.25">
      <c r="A134" s="2" t="s">
        <v>129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34</v>
      </c>
      <c r="V134" s="2">
        <v>0</v>
      </c>
      <c r="W134" s="2">
        <v>0</v>
      </c>
      <c r="X134" s="2">
        <v>4</v>
      </c>
      <c r="Y134" s="2">
        <v>0</v>
      </c>
      <c r="Z134" s="2">
        <v>62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</row>
    <row r="135" spans="1:55" x14ac:dyDescent="0.25">
      <c r="A135" s="2" t="s">
        <v>130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45</v>
      </c>
      <c r="V135" s="2">
        <v>0</v>
      </c>
      <c r="W135" s="2">
        <v>0</v>
      </c>
      <c r="X135" s="2">
        <v>3</v>
      </c>
      <c r="Y135" s="2">
        <v>0</v>
      </c>
      <c r="Z135" s="2">
        <v>52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</row>
    <row r="136" spans="1:55" x14ac:dyDescent="0.25">
      <c r="A136" s="2" t="s">
        <v>131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25</v>
      </c>
      <c r="V136" s="2">
        <v>0</v>
      </c>
      <c r="W136" s="2">
        <v>0</v>
      </c>
      <c r="X136" s="2">
        <v>4</v>
      </c>
      <c r="Y136" s="2">
        <v>0</v>
      </c>
      <c r="Z136" s="2">
        <v>47</v>
      </c>
      <c r="AA136" s="2">
        <v>24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</row>
    <row r="137" spans="1:55" x14ac:dyDescent="0.25">
      <c r="A137" s="2" t="s">
        <v>132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57</v>
      </c>
      <c r="V137" s="2">
        <v>0</v>
      </c>
      <c r="W137" s="2">
        <v>0</v>
      </c>
      <c r="X137" s="2">
        <v>0</v>
      </c>
      <c r="Y137" s="2">
        <v>0</v>
      </c>
      <c r="Z137" s="2">
        <v>39</v>
      </c>
      <c r="AA137" s="2">
        <v>4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</row>
    <row r="138" spans="1:55" x14ac:dyDescent="0.25">
      <c r="A138" s="2" t="s">
        <v>133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35</v>
      </c>
      <c r="V138" s="2">
        <v>0</v>
      </c>
      <c r="W138" s="2">
        <v>0</v>
      </c>
      <c r="X138" s="2">
        <v>10</v>
      </c>
      <c r="Y138" s="2">
        <v>16</v>
      </c>
      <c r="Z138" s="2">
        <v>18</v>
      </c>
      <c r="AA138" s="2">
        <v>21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</row>
    <row r="139" spans="1:55" x14ac:dyDescent="0.25">
      <c r="A139" s="2" t="s">
        <v>134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77</v>
      </c>
      <c r="V139" s="2">
        <v>0</v>
      </c>
      <c r="W139" s="2">
        <v>0</v>
      </c>
      <c r="X139" s="2">
        <v>4</v>
      </c>
      <c r="Y139" s="2">
        <v>0</v>
      </c>
      <c r="Z139" s="2">
        <v>17</v>
      </c>
      <c r="AA139" s="2">
        <v>1</v>
      </c>
      <c r="AB139" s="2">
        <v>0</v>
      </c>
      <c r="AC139" s="2">
        <v>1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</row>
    <row r="140" spans="1:55" x14ac:dyDescent="0.25">
      <c r="A140" s="2" t="s">
        <v>135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26</v>
      </c>
      <c r="V140" s="2">
        <v>0</v>
      </c>
      <c r="W140" s="2">
        <v>0</v>
      </c>
      <c r="X140" s="2">
        <v>0</v>
      </c>
      <c r="Y140" s="2">
        <v>12</v>
      </c>
      <c r="Z140" s="2">
        <v>62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</row>
    <row r="141" spans="1:55" x14ac:dyDescent="0.25">
      <c r="A141" s="2" t="s">
        <v>136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44</v>
      </c>
      <c r="V141" s="2">
        <v>0</v>
      </c>
      <c r="W141" s="2">
        <v>0</v>
      </c>
      <c r="X141" s="2">
        <v>0</v>
      </c>
      <c r="Y141" s="2">
        <v>1</v>
      </c>
      <c r="Z141" s="2">
        <v>2</v>
      </c>
      <c r="AA141" s="2">
        <v>53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</row>
    <row r="142" spans="1:55" x14ac:dyDescent="0.25">
      <c r="A142" s="2" t="s">
        <v>137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50</v>
      </c>
      <c r="V142" s="2">
        <v>0</v>
      </c>
      <c r="W142" s="2">
        <v>0</v>
      </c>
      <c r="X142" s="2">
        <v>0</v>
      </c>
      <c r="Y142" s="2">
        <v>4</v>
      </c>
      <c r="Z142" s="2">
        <v>15</v>
      </c>
      <c r="AA142" s="2">
        <v>31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</row>
    <row r="143" spans="1:55" x14ac:dyDescent="0.25">
      <c r="A143" s="2" t="s">
        <v>138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32</v>
      </c>
      <c r="V143" s="2">
        <v>0</v>
      </c>
      <c r="W143" s="2">
        <v>0</v>
      </c>
      <c r="X143" s="2">
        <v>11</v>
      </c>
      <c r="Y143" s="2">
        <v>10</v>
      </c>
      <c r="Z143" s="2">
        <v>27</v>
      </c>
      <c r="AA143" s="2">
        <v>19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1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</row>
    <row r="144" spans="1:55" x14ac:dyDescent="0.25">
      <c r="A144" s="2" t="s">
        <v>139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36</v>
      </c>
      <c r="V144" s="2">
        <v>0</v>
      </c>
      <c r="W144" s="2">
        <v>0</v>
      </c>
      <c r="X144" s="2">
        <v>14</v>
      </c>
      <c r="Y144" s="2">
        <v>29</v>
      </c>
      <c r="Z144" s="2">
        <v>14</v>
      </c>
      <c r="AA144" s="2">
        <v>7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</row>
    <row r="145" spans="1:55" x14ac:dyDescent="0.25">
      <c r="A145" s="2" t="s">
        <v>140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23</v>
      </c>
      <c r="V145" s="2">
        <v>0</v>
      </c>
      <c r="W145" s="2">
        <v>0</v>
      </c>
      <c r="X145" s="2">
        <v>6</v>
      </c>
      <c r="Y145" s="2">
        <v>34</v>
      </c>
      <c r="Z145" s="2">
        <v>18</v>
      </c>
      <c r="AA145" s="2">
        <v>19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</row>
    <row r="146" spans="1:55" x14ac:dyDescent="0.25">
      <c r="A146" s="2" t="s">
        <v>141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32</v>
      </c>
      <c r="V146" s="2">
        <v>0</v>
      </c>
      <c r="W146" s="2">
        <v>0</v>
      </c>
      <c r="X146" s="2">
        <v>0</v>
      </c>
      <c r="Y146" s="2">
        <v>44</v>
      </c>
      <c r="Z146" s="2">
        <v>21</v>
      </c>
      <c r="AA146" s="2">
        <v>1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1</v>
      </c>
      <c r="AK146" s="2">
        <v>0</v>
      </c>
      <c r="AL146" s="2">
        <v>0</v>
      </c>
      <c r="AM146" s="2">
        <v>0</v>
      </c>
      <c r="AN146" s="2">
        <v>1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</row>
    <row r="147" spans="1:55" x14ac:dyDescent="0.25">
      <c r="A147" s="2" t="s">
        <v>142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11</v>
      </c>
      <c r="V147" s="2">
        <v>0</v>
      </c>
      <c r="W147" s="2">
        <v>0</v>
      </c>
      <c r="X147" s="2">
        <v>7</v>
      </c>
      <c r="Y147" s="2">
        <v>54</v>
      </c>
      <c r="Z147" s="2">
        <v>8</v>
      </c>
      <c r="AA147" s="2">
        <v>14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</row>
    <row r="148" spans="1:55" x14ac:dyDescent="0.25">
      <c r="A148" s="2" t="s">
        <v>143</v>
      </c>
      <c r="B148" s="2">
        <v>0</v>
      </c>
      <c r="C148" s="2">
        <v>0</v>
      </c>
      <c r="D148" s="2"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2</v>
      </c>
      <c r="V148" s="2">
        <v>0</v>
      </c>
      <c r="W148" s="2">
        <v>0</v>
      </c>
      <c r="X148" s="2">
        <v>0</v>
      </c>
      <c r="Y148" s="2">
        <v>1</v>
      </c>
      <c r="Z148" s="2">
        <v>70</v>
      </c>
      <c r="AA148" s="2">
        <v>19</v>
      </c>
      <c r="AB148" s="2">
        <v>0</v>
      </c>
      <c r="AC148" s="2">
        <v>2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6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</row>
    <row r="149" spans="1:55" x14ac:dyDescent="0.25">
      <c r="A149" s="2" t="s">
        <v>144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1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1</v>
      </c>
      <c r="V149" s="2">
        <v>0</v>
      </c>
      <c r="W149" s="2">
        <v>0</v>
      </c>
      <c r="X149" s="2">
        <v>9</v>
      </c>
      <c r="Y149" s="2">
        <v>0</v>
      </c>
      <c r="Z149" s="2">
        <v>73</v>
      </c>
      <c r="AA149" s="2">
        <v>1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16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</row>
    <row r="150" spans="1:55" x14ac:dyDescent="0.25">
      <c r="A150" s="2" t="s">
        <v>145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1</v>
      </c>
      <c r="H150" s="2">
        <v>0</v>
      </c>
      <c r="I150" s="2">
        <v>1</v>
      </c>
      <c r="J150" s="2">
        <v>0</v>
      </c>
      <c r="K150" s="2">
        <v>0</v>
      </c>
      <c r="L150" s="2">
        <v>0</v>
      </c>
      <c r="M150" s="2">
        <v>27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29</v>
      </c>
      <c r="V150" s="2">
        <v>26</v>
      </c>
      <c r="W150" s="2">
        <v>0</v>
      </c>
      <c r="X150" s="2">
        <v>0</v>
      </c>
      <c r="Y150" s="2">
        <v>0</v>
      </c>
      <c r="Z150" s="2">
        <v>37</v>
      </c>
      <c r="AA150" s="2">
        <v>0</v>
      </c>
      <c r="AB150" s="2">
        <v>0</v>
      </c>
      <c r="AC150" s="2">
        <v>8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</row>
    <row r="151" spans="1:55" x14ac:dyDescent="0.25">
      <c r="A151" s="2" t="s">
        <v>146</v>
      </c>
      <c r="B151" s="2">
        <v>0</v>
      </c>
      <c r="C151" s="2">
        <v>0</v>
      </c>
      <c r="D151" s="2">
        <v>1</v>
      </c>
      <c r="E151" s="2">
        <v>0</v>
      </c>
      <c r="F151" s="2">
        <v>1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26</v>
      </c>
      <c r="V151" s="2">
        <v>0</v>
      </c>
      <c r="W151" s="2">
        <v>0</v>
      </c>
      <c r="X151" s="2">
        <v>0</v>
      </c>
      <c r="Y151" s="2">
        <v>0</v>
      </c>
      <c r="Z151" s="2">
        <v>74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</row>
    <row r="152" spans="1:55" x14ac:dyDescent="0.25">
      <c r="A152" s="2" t="s">
        <v>147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74</v>
      </c>
      <c r="V152" s="2">
        <v>0</v>
      </c>
      <c r="W152" s="2">
        <v>0</v>
      </c>
      <c r="X152" s="2">
        <v>0</v>
      </c>
      <c r="Y152" s="2">
        <v>0</v>
      </c>
      <c r="Z152" s="2">
        <v>26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</row>
    <row r="153" spans="1:55" x14ac:dyDescent="0.25">
      <c r="A153" s="2" t="s">
        <v>148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41</v>
      </c>
      <c r="V153" s="2">
        <v>0</v>
      </c>
      <c r="W153" s="2">
        <v>0</v>
      </c>
      <c r="X153" s="2">
        <v>15</v>
      </c>
      <c r="Y153" s="2">
        <v>0</v>
      </c>
      <c r="Z153" s="2">
        <v>44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</row>
    <row r="154" spans="1:55" x14ac:dyDescent="0.25">
      <c r="A154" s="2" t="s">
        <v>149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19</v>
      </c>
      <c r="V154" s="2">
        <v>0</v>
      </c>
      <c r="W154" s="2">
        <v>0</v>
      </c>
      <c r="X154" s="2">
        <v>13</v>
      </c>
      <c r="Y154" s="2">
        <v>0</v>
      </c>
      <c r="Z154" s="2">
        <v>63</v>
      </c>
      <c r="AA154" s="2">
        <v>1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2</v>
      </c>
      <c r="AO154" s="2">
        <v>0</v>
      </c>
      <c r="AP154" s="2">
        <v>0</v>
      </c>
      <c r="AQ154" s="2">
        <v>0</v>
      </c>
      <c r="AR154" s="2">
        <v>0</v>
      </c>
      <c r="AS154" s="2">
        <v>2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</row>
    <row r="155" spans="1:55" x14ac:dyDescent="0.25">
      <c r="A155" s="2" t="s">
        <v>150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2</v>
      </c>
      <c r="T155" s="2">
        <v>0</v>
      </c>
      <c r="U155" s="2">
        <v>10</v>
      </c>
      <c r="V155" s="2">
        <v>3</v>
      </c>
      <c r="W155" s="2">
        <v>0</v>
      </c>
      <c r="X155" s="2">
        <v>0</v>
      </c>
      <c r="Y155" s="2">
        <v>0</v>
      </c>
      <c r="Z155" s="2">
        <v>87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</row>
    <row r="156" spans="1:55" x14ac:dyDescent="0.25">
      <c r="A156" s="2" t="s">
        <v>151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35</v>
      </c>
      <c r="V156" s="2">
        <v>46</v>
      </c>
      <c r="W156" s="2">
        <v>0</v>
      </c>
      <c r="X156" s="2">
        <v>7</v>
      </c>
      <c r="Y156" s="2">
        <v>0</v>
      </c>
      <c r="Z156" s="2">
        <v>9</v>
      </c>
      <c r="AA156" s="2">
        <v>3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</row>
    <row r="157" spans="1:55" x14ac:dyDescent="0.25">
      <c r="A157" s="2" t="s">
        <v>152</v>
      </c>
      <c r="B157" s="2">
        <v>0</v>
      </c>
      <c r="C157" s="2">
        <v>1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10</v>
      </c>
      <c r="V157" s="2">
        <v>79</v>
      </c>
      <c r="W157" s="2">
        <v>0</v>
      </c>
      <c r="X157" s="2">
        <v>0</v>
      </c>
      <c r="Y157" s="2">
        <v>5</v>
      </c>
      <c r="Z157" s="2">
        <v>6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</row>
    <row r="158" spans="1:55" x14ac:dyDescent="0.25">
      <c r="A158" s="2" t="s">
        <v>153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44</v>
      </c>
      <c r="V158" s="2">
        <v>0</v>
      </c>
      <c r="W158" s="2">
        <v>0</v>
      </c>
      <c r="X158" s="2">
        <v>8</v>
      </c>
      <c r="Y158" s="2">
        <v>0</v>
      </c>
      <c r="Z158" s="2">
        <v>38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2</v>
      </c>
      <c r="AO158" s="2">
        <v>0</v>
      </c>
      <c r="AP158" s="2">
        <v>0</v>
      </c>
      <c r="AQ158" s="2">
        <v>0</v>
      </c>
      <c r="AR158" s="2">
        <v>0</v>
      </c>
      <c r="AS158" s="2">
        <v>2</v>
      </c>
      <c r="AT158" s="2">
        <v>0</v>
      </c>
      <c r="AU158" s="2">
        <v>1</v>
      </c>
      <c r="AV158" s="2">
        <v>0</v>
      </c>
      <c r="AW158" s="2">
        <v>0</v>
      </c>
      <c r="AX158" s="2">
        <v>5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</row>
    <row r="159" spans="1:55" x14ac:dyDescent="0.25">
      <c r="A159" s="2" t="s">
        <v>154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42</v>
      </c>
      <c r="V159" s="2">
        <v>0</v>
      </c>
      <c r="W159" s="2">
        <v>0</v>
      </c>
      <c r="X159" s="2">
        <v>7</v>
      </c>
      <c r="Y159" s="2">
        <v>23</v>
      </c>
      <c r="Z159" s="2">
        <v>27</v>
      </c>
      <c r="AA159" s="2">
        <v>1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</row>
    <row r="160" spans="1:55" x14ac:dyDescent="0.25">
      <c r="A160" s="2" t="s">
        <v>155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9</v>
      </c>
      <c r="V160" s="2">
        <v>0</v>
      </c>
      <c r="W160" s="2">
        <v>0</v>
      </c>
      <c r="X160" s="2">
        <v>20</v>
      </c>
      <c r="Y160" s="2">
        <v>0</v>
      </c>
      <c r="Z160" s="2">
        <v>71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</row>
    <row r="161" spans="1:55" x14ac:dyDescent="0.25">
      <c r="A161" s="2" t="s">
        <v>156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3</v>
      </c>
      <c r="V161" s="2">
        <v>0</v>
      </c>
      <c r="W161" s="2">
        <v>0</v>
      </c>
      <c r="X161" s="2">
        <v>36</v>
      </c>
      <c r="Y161" s="2">
        <v>0</v>
      </c>
      <c r="Z161" s="2">
        <v>33</v>
      </c>
      <c r="AA161" s="2">
        <v>23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</v>
      </c>
      <c r="AT161" s="2">
        <v>0</v>
      </c>
      <c r="AU161" s="2">
        <v>0</v>
      </c>
      <c r="AV161" s="2">
        <v>0</v>
      </c>
      <c r="AW161" s="2">
        <v>2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</row>
    <row r="162" spans="1:55" x14ac:dyDescent="0.25">
      <c r="A162" s="2" t="s">
        <v>157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8</v>
      </c>
      <c r="V162" s="2">
        <v>0</v>
      </c>
      <c r="W162" s="2">
        <v>0</v>
      </c>
      <c r="X162" s="2">
        <v>71</v>
      </c>
      <c r="Y162" s="2">
        <v>0</v>
      </c>
      <c r="Z162" s="2">
        <v>11</v>
      </c>
      <c r="AA162" s="2">
        <v>10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</row>
    <row r="163" spans="1:55" x14ac:dyDescent="0.25">
      <c r="A163" s="2" t="s">
        <v>158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1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6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6</v>
      </c>
      <c r="Y163" s="2">
        <v>29</v>
      </c>
      <c r="Z163" s="2">
        <v>0</v>
      </c>
      <c r="AA163" s="2">
        <v>0</v>
      </c>
      <c r="AB163" s="2">
        <v>0</v>
      </c>
      <c r="AC163" s="2">
        <v>55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3</v>
      </c>
      <c r="AZ163" s="2">
        <v>0</v>
      </c>
      <c r="BA163" s="2">
        <v>0</v>
      </c>
      <c r="BB163" s="2">
        <v>0</v>
      </c>
      <c r="BC163" s="2">
        <v>0</v>
      </c>
    </row>
    <row r="164" spans="1:55" x14ac:dyDescent="0.25">
      <c r="A164" s="2" t="s">
        <v>159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48</v>
      </c>
      <c r="V164" s="2">
        <v>0</v>
      </c>
      <c r="W164" s="2">
        <v>0</v>
      </c>
      <c r="X164" s="2">
        <v>1</v>
      </c>
      <c r="Y164" s="2">
        <v>10</v>
      </c>
      <c r="Z164" s="2">
        <v>7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1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1</v>
      </c>
      <c r="AW164" s="2">
        <v>0</v>
      </c>
      <c r="AX164" s="2">
        <v>0</v>
      </c>
      <c r="AY164" s="2">
        <v>0</v>
      </c>
      <c r="AZ164" s="2">
        <v>32</v>
      </c>
      <c r="BA164" s="2">
        <v>0</v>
      </c>
      <c r="BB164" s="2">
        <v>0</v>
      </c>
      <c r="BC164" s="2">
        <v>0</v>
      </c>
    </row>
    <row r="165" spans="1:55" x14ac:dyDescent="0.25">
      <c r="A165" s="2" t="s">
        <v>160</v>
      </c>
      <c r="B165" s="2">
        <v>0</v>
      </c>
      <c r="C165" s="2">
        <v>1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1</v>
      </c>
      <c r="K165" s="2">
        <v>0</v>
      </c>
      <c r="L165" s="2">
        <v>0</v>
      </c>
      <c r="M165" s="2">
        <v>100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6</v>
      </c>
      <c r="V165" s="2">
        <v>0</v>
      </c>
      <c r="W165" s="2">
        <v>0</v>
      </c>
      <c r="X165" s="2">
        <v>0</v>
      </c>
      <c r="Y165" s="2">
        <v>0</v>
      </c>
      <c r="Z165" s="2">
        <v>56</v>
      </c>
      <c r="AA165" s="2">
        <v>0</v>
      </c>
      <c r="AB165" s="2">
        <v>0</v>
      </c>
      <c r="AC165" s="2">
        <v>26</v>
      </c>
      <c r="AD165" s="2">
        <v>11</v>
      </c>
      <c r="AE165" s="2">
        <v>0</v>
      </c>
      <c r="AF165" s="2">
        <v>1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</row>
    <row r="166" spans="1:55" x14ac:dyDescent="0.25">
      <c r="A166" s="2" t="s">
        <v>161</v>
      </c>
      <c r="B166" s="2">
        <v>0</v>
      </c>
      <c r="C166" s="2">
        <v>1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100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</row>
    <row r="167" spans="1:55" x14ac:dyDescent="0.25">
      <c r="A167" s="2" t="s">
        <v>162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40</v>
      </c>
      <c r="S167" s="2">
        <v>0</v>
      </c>
      <c r="T167" s="2">
        <v>0</v>
      </c>
      <c r="U167" s="2">
        <v>31</v>
      </c>
      <c r="V167" s="2">
        <v>0</v>
      </c>
      <c r="W167" s="2">
        <v>0</v>
      </c>
      <c r="X167" s="2">
        <v>0</v>
      </c>
      <c r="Y167" s="2">
        <v>25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41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</row>
    <row r="168" spans="1:55" x14ac:dyDescent="0.25">
      <c r="A168" s="2" t="s">
        <v>163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18</v>
      </c>
      <c r="V168" s="2">
        <v>0</v>
      </c>
      <c r="W168" s="2">
        <v>0</v>
      </c>
      <c r="X168" s="2">
        <v>19</v>
      </c>
      <c r="Y168" s="2">
        <v>20</v>
      </c>
      <c r="Z168" s="2">
        <v>42</v>
      </c>
      <c r="AA168" s="2">
        <v>1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</row>
    <row r="169" spans="1:55" x14ac:dyDescent="0.25">
      <c r="A169" s="2" t="s">
        <v>164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29</v>
      </c>
      <c r="V169" s="2">
        <v>0</v>
      </c>
      <c r="W169" s="2">
        <v>0</v>
      </c>
      <c r="X169" s="2">
        <v>29</v>
      </c>
      <c r="Y169" s="2">
        <v>0</v>
      </c>
      <c r="Z169" s="2">
        <v>4</v>
      </c>
      <c r="AA169" s="2">
        <v>37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1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</row>
    <row r="170" spans="1:55" x14ac:dyDescent="0.25">
      <c r="A170" s="2" t="s">
        <v>165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30</v>
      </c>
      <c r="V170" s="2">
        <v>0</v>
      </c>
      <c r="W170" s="2">
        <v>0</v>
      </c>
      <c r="X170" s="2">
        <v>26</v>
      </c>
      <c r="Y170" s="2">
        <v>3</v>
      </c>
      <c r="Z170" s="2">
        <v>4</v>
      </c>
      <c r="AA170" s="2">
        <v>36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1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</row>
    <row r="171" spans="1:55" x14ac:dyDescent="0.25">
      <c r="A171" s="2" t="s">
        <v>166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26</v>
      </c>
      <c r="V171" s="2">
        <v>0</v>
      </c>
      <c r="W171" s="2">
        <v>0</v>
      </c>
      <c r="X171" s="2">
        <v>19</v>
      </c>
      <c r="Y171" s="2">
        <v>0</v>
      </c>
      <c r="Z171" s="2">
        <v>0</v>
      </c>
      <c r="AA171" s="2">
        <v>55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</row>
    <row r="172" spans="1:55" x14ac:dyDescent="0.25">
      <c r="A172" s="2" t="s">
        <v>167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23</v>
      </c>
      <c r="V172" s="2">
        <v>0</v>
      </c>
      <c r="W172" s="2">
        <v>0</v>
      </c>
      <c r="X172" s="2">
        <v>18</v>
      </c>
      <c r="Y172" s="2">
        <v>0</v>
      </c>
      <c r="Z172" s="2">
        <v>43</v>
      </c>
      <c r="AA172" s="2">
        <v>16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</row>
    <row r="173" spans="1:55" x14ac:dyDescent="0.25">
      <c r="A173" s="2" t="s">
        <v>168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35</v>
      </c>
      <c r="V173" s="2">
        <v>0</v>
      </c>
      <c r="W173" s="2">
        <v>0</v>
      </c>
      <c r="X173" s="2">
        <v>12</v>
      </c>
      <c r="Y173" s="2">
        <v>0</v>
      </c>
      <c r="Z173" s="2">
        <v>52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1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</row>
    <row r="174" spans="1:55" x14ac:dyDescent="0.25">
      <c r="A174" s="2" t="s">
        <v>169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43</v>
      </c>
      <c r="V174" s="2">
        <v>0</v>
      </c>
      <c r="W174" s="2">
        <v>0</v>
      </c>
      <c r="X174" s="2">
        <v>10</v>
      </c>
      <c r="Y174" s="2">
        <v>0</v>
      </c>
      <c r="Z174" s="2">
        <v>39</v>
      </c>
      <c r="AA174" s="2">
        <v>6</v>
      </c>
      <c r="AB174" s="2">
        <v>0</v>
      </c>
      <c r="AC174" s="2">
        <v>2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</row>
    <row r="175" spans="1:55" x14ac:dyDescent="0.25">
      <c r="A175" s="2" t="s">
        <v>170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48</v>
      </c>
      <c r="V175" s="2">
        <v>0</v>
      </c>
      <c r="W175" s="2">
        <v>0</v>
      </c>
      <c r="X175" s="2">
        <v>2</v>
      </c>
      <c r="Y175" s="2">
        <v>0</v>
      </c>
      <c r="Z175" s="2">
        <v>50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</row>
    <row r="176" spans="1:55" x14ac:dyDescent="0.25">
      <c r="A176" s="2" t="s">
        <v>171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100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</row>
    <row r="177" spans="1:55" x14ac:dyDescent="0.25">
      <c r="A177" s="2" t="s">
        <v>172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100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</row>
    <row r="178" spans="1:55" x14ac:dyDescent="0.25">
      <c r="A178" s="2" t="s">
        <v>173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3</v>
      </c>
      <c r="S178" s="2">
        <v>0</v>
      </c>
      <c r="T178" s="2">
        <v>0</v>
      </c>
      <c r="U178" s="2">
        <v>10</v>
      </c>
      <c r="V178" s="2">
        <v>0</v>
      </c>
      <c r="W178" s="2">
        <v>0</v>
      </c>
      <c r="X178" s="2">
        <v>7</v>
      </c>
      <c r="Y178" s="2">
        <v>0</v>
      </c>
      <c r="Z178" s="2">
        <v>70</v>
      </c>
      <c r="AA178" s="2">
        <v>10</v>
      </c>
      <c r="AB178" s="2">
        <v>0</v>
      </c>
      <c r="AC178" s="2">
        <v>0</v>
      </c>
      <c r="AD178" s="2">
        <v>2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</row>
    <row r="179" spans="1:55" x14ac:dyDescent="0.25">
      <c r="A179" s="2" t="s">
        <v>174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6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22</v>
      </c>
      <c r="V179" s="2">
        <v>27</v>
      </c>
      <c r="W179" s="2">
        <v>0</v>
      </c>
      <c r="X179" s="2">
        <v>5</v>
      </c>
      <c r="Y179" s="2">
        <v>0</v>
      </c>
      <c r="Z179" s="2">
        <v>8</v>
      </c>
      <c r="AA179" s="2">
        <v>0</v>
      </c>
      <c r="AB179" s="2">
        <v>0</v>
      </c>
      <c r="AC179" s="2">
        <v>0</v>
      </c>
      <c r="AD179" s="2">
        <v>37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1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</row>
    <row r="180" spans="1:55" x14ac:dyDescent="0.25">
      <c r="A180" s="2" t="s">
        <v>175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28</v>
      </c>
      <c r="V180" s="2">
        <v>0</v>
      </c>
      <c r="W180" s="2">
        <v>0</v>
      </c>
      <c r="X180" s="2">
        <v>0</v>
      </c>
      <c r="Y180" s="2">
        <v>3</v>
      </c>
      <c r="Z180" s="2">
        <v>63</v>
      </c>
      <c r="AA180" s="2">
        <v>0</v>
      </c>
      <c r="AB180" s="2">
        <v>0</v>
      </c>
      <c r="AC180" s="2">
        <v>6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</row>
    <row r="181" spans="1:55" x14ac:dyDescent="0.25">
      <c r="A181" s="2" t="s">
        <v>176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11</v>
      </c>
      <c r="V181" s="2">
        <v>0</v>
      </c>
      <c r="W181" s="2">
        <v>0</v>
      </c>
      <c r="X181" s="2">
        <v>0</v>
      </c>
      <c r="Y181" s="2">
        <v>0</v>
      </c>
      <c r="Z181" s="2">
        <v>60</v>
      </c>
      <c r="AA181" s="2">
        <v>0</v>
      </c>
      <c r="AB181" s="2">
        <v>0</v>
      </c>
      <c r="AC181" s="2">
        <v>29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</row>
    <row r="182" spans="1:55" x14ac:dyDescent="0.25">
      <c r="A182" s="2" t="s">
        <v>177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16</v>
      </c>
      <c r="V182" s="2">
        <v>0</v>
      </c>
      <c r="W182" s="2">
        <v>0</v>
      </c>
      <c r="X182" s="2">
        <v>0</v>
      </c>
      <c r="Y182" s="2">
        <v>0</v>
      </c>
      <c r="Z182" s="2">
        <v>39</v>
      </c>
      <c r="AA182" s="2">
        <v>5</v>
      </c>
      <c r="AB182" s="2">
        <v>0</v>
      </c>
      <c r="AC182" s="2">
        <v>9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11</v>
      </c>
      <c r="AO182" s="2">
        <v>0</v>
      </c>
      <c r="AP182" s="2">
        <v>0</v>
      </c>
      <c r="AQ182" s="2">
        <v>1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19</v>
      </c>
      <c r="BB182" s="2">
        <v>0</v>
      </c>
      <c r="BC182" s="2">
        <v>0</v>
      </c>
    </row>
    <row r="183" spans="1:55" x14ac:dyDescent="0.25">
      <c r="A183" s="2" t="s">
        <v>178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18</v>
      </c>
      <c r="V183" s="2">
        <v>0</v>
      </c>
      <c r="W183" s="2">
        <v>0</v>
      </c>
      <c r="X183" s="2">
        <v>0</v>
      </c>
      <c r="Y183" s="2">
        <v>0</v>
      </c>
      <c r="Z183" s="2">
        <v>64</v>
      </c>
      <c r="AA183" s="2">
        <v>0</v>
      </c>
      <c r="AB183" s="2">
        <v>0</v>
      </c>
      <c r="AC183" s="2">
        <v>14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1</v>
      </c>
      <c r="AO183" s="2">
        <v>0</v>
      </c>
      <c r="AP183" s="2">
        <v>0</v>
      </c>
      <c r="AQ183" s="2">
        <v>2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1</v>
      </c>
      <c r="BA183" s="2">
        <v>0</v>
      </c>
      <c r="BB183" s="2">
        <v>0</v>
      </c>
      <c r="BC183" s="2">
        <v>0</v>
      </c>
    </row>
    <row r="184" spans="1:55" x14ac:dyDescent="0.25">
      <c r="A184" s="2" t="s">
        <v>179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26</v>
      </c>
      <c r="V184" s="2">
        <v>0</v>
      </c>
      <c r="W184" s="2">
        <v>0</v>
      </c>
      <c r="X184" s="2">
        <v>0</v>
      </c>
      <c r="Y184" s="2">
        <v>0</v>
      </c>
      <c r="Z184" s="2">
        <v>17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48</v>
      </c>
      <c r="AM184" s="2">
        <v>0</v>
      </c>
      <c r="AN184" s="2">
        <v>5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4</v>
      </c>
      <c r="BA184" s="2">
        <v>0</v>
      </c>
      <c r="BB184" s="2">
        <v>0</v>
      </c>
      <c r="BC184" s="2">
        <v>0</v>
      </c>
    </row>
    <row r="185" spans="1:55" x14ac:dyDescent="0.25">
      <c r="A185" s="2" t="s">
        <v>180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1</v>
      </c>
      <c r="V185" s="2">
        <v>0</v>
      </c>
      <c r="W185" s="2">
        <v>0</v>
      </c>
      <c r="X185" s="2">
        <v>0</v>
      </c>
      <c r="Y185" s="2">
        <v>0</v>
      </c>
      <c r="Z185" s="2">
        <v>28</v>
      </c>
      <c r="AA185" s="2">
        <v>6</v>
      </c>
      <c r="AB185" s="2">
        <v>10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31</v>
      </c>
      <c r="AM185" s="2">
        <v>0</v>
      </c>
      <c r="AN185" s="2">
        <v>21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3</v>
      </c>
      <c r="BA185" s="2">
        <v>0</v>
      </c>
      <c r="BB185" s="2">
        <v>0</v>
      </c>
      <c r="BC185" s="2">
        <v>0</v>
      </c>
    </row>
    <row r="186" spans="1:55" x14ac:dyDescent="0.25">
      <c r="A186" s="2" t="s">
        <v>181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14</v>
      </c>
      <c r="V186" s="2">
        <v>0</v>
      </c>
      <c r="W186" s="2">
        <v>0</v>
      </c>
      <c r="X186" s="2">
        <v>0</v>
      </c>
      <c r="Y186" s="2">
        <v>0</v>
      </c>
      <c r="Z186" s="2">
        <v>86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</row>
    <row r="187" spans="1:55" x14ac:dyDescent="0.25">
      <c r="A187" s="2" t="s">
        <v>182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36</v>
      </c>
      <c r="V187" s="2">
        <v>0</v>
      </c>
      <c r="W187" s="2">
        <v>0</v>
      </c>
      <c r="X187" s="2">
        <v>0</v>
      </c>
      <c r="Y187" s="2">
        <v>6</v>
      </c>
      <c r="Z187" s="2">
        <v>58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</row>
    <row r="188" spans="1:55" x14ac:dyDescent="0.25">
      <c r="A188" s="2" t="s">
        <v>183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62</v>
      </c>
      <c r="V188" s="2">
        <v>0</v>
      </c>
      <c r="W188" s="2">
        <v>0</v>
      </c>
      <c r="X188" s="2">
        <v>0</v>
      </c>
      <c r="Y188" s="2">
        <v>29</v>
      </c>
      <c r="Z188" s="2">
        <v>8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1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</row>
    <row r="189" spans="1:55" x14ac:dyDescent="0.25">
      <c r="A189" s="2" t="s">
        <v>184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100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</row>
    <row r="190" spans="1:55" x14ac:dyDescent="0.25">
      <c r="A190" s="2" t="s">
        <v>185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52</v>
      </c>
      <c r="V190" s="2">
        <v>0</v>
      </c>
      <c r="W190" s="2">
        <v>0</v>
      </c>
      <c r="X190" s="2">
        <v>0</v>
      </c>
      <c r="Y190" s="2">
        <v>0</v>
      </c>
      <c r="Z190" s="2">
        <v>8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</row>
    <row r="191" spans="1:55" x14ac:dyDescent="0.25">
      <c r="A191" s="2" t="s">
        <v>186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93</v>
      </c>
      <c r="V191" s="2">
        <v>0</v>
      </c>
      <c r="W191" s="2">
        <v>0</v>
      </c>
      <c r="X191" s="2">
        <v>0</v>
      </c>
      <c r="Y191" s="2">
        <v>0</v>
      </c>
      <c r="Z191" s="2">
        <v>7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</row>
    <row r="192" spans="1:55" x14ac:dyDescent="0.25">
      <c r="A192" s="2" t="s">
        <v>187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52</v>
      </c>
      <c r="V192" s="2">
        <v>0</v>
      </c>
      <c r="W192" s="2">
        <v>0</v>
      </c>
      <c r="X192" s="2">
        <v>0</v>
      </c>
      <c r="Y192" s="2">
        <v>0</v>
      </c>
      <c r="Z192" s="2">
        <v>29</v>
      </c>
      <c r="AA192" s="2">
        <v>0</v>
      </c>
      <c r="AB192" s="2">
        <v>5</v>
      </c>
      <c r="AC192" s="2">
        <v>14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</row>
    <row r="193" spans="1:55" x14ac:dyDescent="0.25">
      <c r="A193" s="2" t="s">
        <v>188</v>
      </c>
      <c r="B193" s="2">
        <v>0</v>
      </c>
      <c r="C193" s="2">
        <v>1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16</v>
      </c>
      <c r="V193" s="2">
        <v>0</v>
      </c>
      <c r="W193" s="2">
        <v>0</v>
      </c>
      <c r="X193" s="2">
        <v>0</v>
      </c>
      <c r="Y193" s="2">
        <v>40</v>
      </c>
      <c r="Z193" s="2">
        <v>40</v>
      </c>
      <c r="AA193" s="2">
        <v>0</v>
      </c>
      <c r="AB193" s="2">
        <v>0</v>
      </c>
      <c r="AC193" s="2">
        <v>0</v>
      </c>
      <c r="AD193" s="2">
        <v>4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</row>
    <row r="194" spans="1:55" x14ac:dyDescent="0.25">
      <c r="A194" s="2" t="s">
        <v>189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1</v>
      </c>
      <c r="K194" s="2">
        <v>0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29</v>
      </c>
      <c r="V194" s="2">
        <v>0</v>
      </c>
      <c r="W194" s="2">
        <v>0</v>
      </c>
      <c r="X194" s="2">
        <v>0</v>
      </c>
      <c r="Y194" s="2">
        <v>35</v>
      </c>
      <c r="Z194" s="2">
        <v>36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</row>
    <row r="195" spans="1:55" x14ac:dyDescent="0.25">
      <c r="A195" s="2" t="s">
        <v>190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1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39</v>
      </c>
      <c r="V195" s="2">
        <v>0</v>
      </c>
      <c r="W195" s="2">
        <v>0</v>
      </c>
      <c r="X195" s="2">
        <v>0</v>
      </c>
      <c r="Y195" s="2">
        <v>31</v>
      </c>
      <c r="Z195" s="2">
        <v>30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</row>
    <row r="196" spans="1:55" x14ac:dyDescent="0.25">
      <c r="A196" s="2" t="s">
        <v>191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50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59</v>
      </c>
      <c r="V196" s="2">
        <v>8</v>
      </c>
      <c r="W196" s="2">
        <v>0</v>
      </c>
      <c r="X196" s="2">
        <v>0</v>
      </c>
      <c r="Y196" s="2">
        <v>0</v>
      </c>
      <c r="Z196" s="2">
        <v>33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</row>
    <row r="197" spans="1:55" x14ac:dyDescent="0.25">
      <c r="A197" s="2" t="s">
        <v>192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55</v>
      </c>
      <c r="V197" s="2">
        <v>30</v>
      </c>
      <c r="W197" s="2">
        <v>0</v>
      </c>
      <c r="X197" s="2">
        <v>0</v>
      </c>
      <c r="Y197" s="2">
        <v>3</v>
      </c>
      <c r="Z197" s="2">
        <v>12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</row>
    <row r="198" spans="1:55" x14ac:dyDescent="0.25">
      <c r="A198" s="2" t="s">
        <v>193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100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</row>
    <row r="199" spans="1:55" x14ac:dyDescent="0.25">
      <c r="A199" s="2" t="s">
        <v>194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100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</row>
    <row r="200" spans="1:55" x14ac:dyDescent="0.25">
      <c r="A200" s="2" t="s">
        <v>195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1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5</v>
      </c>
      <c r="V200" s="2">
        <v>0</v>
      </c>
      <c r="W200" s="2">
        <v>0</v>
      </c>
      <c r="X200" s="2">
        <v>20</v>
      </c>
      <c r="Y200" s="2">
        <v>0</v>
      </c>
      <c r="Z200" s="2">
        <v>21</v>
      </c>
      <c r="AA200" s="2">
        <v>43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11</v>
      </c>
      <c r="BB200" s="2">
        <v>0</v>
      </c>
      <c r="BC200" s="2">
        <v>0</v>
      </c>
    </row>
    <row r="201" spans="1:55" x14ac:dyDescent="0.25">
      <c r="A201" s="2" t="s">
        <v>196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1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26</v>
      </c>
      <c r="V201" s="2">
        <v>0</v>
      </c>
      <c r="W201" s="2">
        <v>0</v>
      </c>
      <c r="X201" s="2">
        <v>36</v>
      </c>
      <c r="Y201" s="2">
        <v>0</v>
      </c>
      <c r="Z201" s="2">
        <v>33</v>
      </c>
      <c r="AA201" s="2">
        <v>5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</row>
    <row r="202" spans="1:55" x14ac:dyDescent="0.25">
      <c r="A202" s="2" t="s">
        <v>197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100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</row>
    <row r="203" spans="1:55" x14ac:dyDescent="0.25">
      <c r="A203" s="2" t="s">
        <v>198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56</v>
      </c>
      <c r="V203" s="2">
        <v>0</v>
      </c>
      <c r="W203" s="2">
        <v>0</v>
      </c>
      <c r="X203" s="2">
        <v>12</v>
      </c>
      <c r="Y203" s="2">
        <v>0</v>
      </c>
      <c r="Z203" s="2">
        <v>25</v>
      </c>
      <c r="AA203" s="2">
        <v>7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</row>
    <row r="204" spans="1:55" x14ac:dyDescent="0.25">
      <c r="A204" s="2" t="s">
        <v>199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89</v>
      </c>
      <c r="V204" s="2">
        <v>0</v>
      </c>
      <c r="W204" s="2">
        <v>0</v>
      </c>
      <c r="X204" s="2">
        <v>0</v>
      </c>
      <c r="Y204" s="2">
        <v>0</v>
      </c>
      <c r="Z204" s="2">
        <v>11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</row>
    <row r="205" spans="1:55" x14ac:dyDescent="0.25">
      <c r="A205" s="2" t="s">
        <v>200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84</v>
      </c>
      <c r="V205" s="2">
        <v>0</v>
      </c>
      <c r="W205" s="2">
        <v>0</v>
      </c>
      <c r="X205" s="2">
        <v>0</v>
      </c>
      <c r="Y205" s="2">
        <v>16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</row>
    <row r="206" spans="1:55" x14ac:dyDescent="0.25">
      <c r="A206" s="2" t="s">
        <v>201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23</v>
      </c>
      <c r="V206" s="2">
        <v>0</v>
      </c>
      <c r="W206" s="2">
        <v>0</v>
      </c>
      <c r="X206" s="2">
        <v>0</v>
      </c>
      <c r="Y206" s="2">
        <v>0</v>
      </c>
      <c r="Z206" s="2">
        <v>70</v>
      </c>
      <c r="AA206" s="2">
        <v>2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5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</row>
    <row r="207" spans="1:55" x14ac:dyDescent="0.25">
      <c r="A207" s="2" t="s">
        <v>202</v>
      </c>
      <c r="B207" s="2">
        <v>0</v>
      </c>
      <c r="C207" s="2">
        <v>1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63</v>
      </c>
      <c r="AA207" s="2">
        <v>10</v>
      </c>
      <c r="AB207" s="2">
        <v>0</v>
      </c>
      <c r="AC207" s="2">
        <v>16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11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</row>
    <row r="208" spans="1:55" x14ac:dyDescent="0.25">
      <c r="A208" s="2" t="s">
        <v>203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49</v>
      </c>
      <c r="V208" s="2">
        <v>0</v>
      </c>
      <c r="W208" s="2">
        <v>0</v>
      </c>
      <c r="X208" s="2">
        <v>0</v>
      </c>
      <c r="Y208" s="2">
        <v>0</v>
      </c>
      <c r="Z208" s="2">
        <v>51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</row>
    <row r="209" spans="1:55" x14ac:dyDescent="0.25">
      <c r="A209" s="2" t="s">
        <v>204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52</v>
      </c>
      <c r="V209" s="2">
        <v>0</v>
      </c>
      <c r="W209" s="2">
        <v>0</v>
      </c>
      <c r="X209" s="2">
        <v>0</v>
      </c>
      <c r="Y209" s="2">
        <v>0</v>
      </c>
      <c r="Z209" s="2">
        <v>48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</row>
    <row r="210" spans="1:55" x14ac:dyDescent="0.25">
      <c r="A210" s="2" t="s">
        <v>205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26</v>
      </c>
      <c r="V210" s="2">
        <v>0</v>
      </c>
      <c r="W210" s="2">
        <v>0</v>
      </c>
      <c r="X210" s="2">
        <v>0</v>
      </c>
      <c r="Y210" s="2">
        <v>0</v>
      </c>
      <c r="Z210" s="2">
        <v>65</v>
      </c>
      <c r="AA210" s="2">
        <v>9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</row>
    <row r="211" spans="1:55" x14ac:dyDescent="0.25">
      <c r="A211" s="2" t="s">
        <v>206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86</v>
      </c>
      <c r="V211" s="2">
        <v>0</v>
      </c>
      <c r="W211" s="2">
        <v>0</v>
      </c>
      <c r="X211" s="2">
        <v>0</v>
      </c>
      <c r="Y211" s="2">
        <v>0</v>
      </c>
      <c r="Z211" s="2">
        <v>14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</row>
    <row r="212" spans="1:55" x14ac:dyDescent="0.25">
      <c r="A212" s="2" t="s">
        <v>207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94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1</v>
      </c>
      <c r="AB212" s="2">
        <v>0</v>
      </c>
      <c r="AC212" s="2">
        <v>5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</row>
    <row r="213" spans="1:55" x14ac:dyDescent="0.25">
      <c r="A213" s="2" t="s">
        <v>208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58</v>
      </c>
      <c r="V213" s="2">
        <v>0</v>
      </c>
      <c r="W213" s="2">
        <v>0</v>
      </c>
      <c r="X213" s="2">
        <v>0</v>
      </c>
      <c r="Y213" s="2">
        <v>37</v>
      </c>
      <c r="Z213" s="2">
        <v>5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</row>
    <row r="214" spans="1:55" x14ac:dyDescent="0.25">
      <c r="A214" s="2" t="s">
        <v>209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63</v>
      </c>
      <c r="V214" s="2">
        <v>0</v>
      </c>
      <c r="W214" s="2">
        <v>0</v>
      </c>
      <c r="X214" s="2">
        <v>0</v>
      </c>
      <c r="Y214" s="2">
        <v>25</v>
      </c>
      <c r="Z214" s="2">
        <v>9</v>
      </c>
      <c r="AA214" s="2">
        <v>0</v>
      </c>
      <c r="AB214" s="2">
        <v>0</v>
      </c>
      <c r="AC214" s="2">
        <v>3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</row>
    <row r="215" spans="1:55" x14ac:dyDescent="0.25">
      <c r="A215" s="2" t="s">
        <v>210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51</v>
      </c>
      <c r="V215" s="2">
        <v>0</v>
      </c>
      <c r="W215" s="2">
        <v>0</v>
      </c>
      <c r="X215" s="2">
        <v>0</v>
      </c>
      <c r="Y215" s="2">
        <v>10</v>
      </c>
      <c r="Z215" s="2">
        <v>39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</row>
    <row r="216" spans="1:55" x14ac:dyDescent="0.25">
      <c r="A216" s="2" t="s">
        <v>211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55</v>
      </c>
      <c r="V216" s="2">
        <v>0</v>
      </c>
      <c r="W216" s="2">
        <v>0</v>
      </c>
      <c r="X216" s="2">
        <v>0</v>
      </c>
      <c r="Y216" s="2">
        <v>10</v>
      </c>
      <c r="Z216" s="2">
        <v>35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</row>
    <row r="217" spans="1:55" x14ac:dyDescent="0.25">
      <c r="A217" s="2" t="s">
        <v>212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17</v>
      </c>
      <c r="V217" s="2">
        <v>0</v>
      </c>
      <c r="W217" s="2">
        <v>0</v>
      </c>
      <c r="X217" s="2">
        <v>1</v>
      </c>
      <c r="Y217" s="2">
        <v>0</v>
      </c>
      <c r="Z217" s="2">
        <v>82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</row>
    <row r="218" spans="1:55" x14ac:dyDescent="0.25">
      <c r="A218" s="2" t="s">
        <v>213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29</v>
      </c>
      <c r="V218" s="2">
        <v>0</v>
      </c>
      <c r="W218" s="2">
        <v>0</v>
      </c>
      <c r="X218" s="2">
        <v>1</v>
      </c>
      <c r="Y218" s="2">
        <v>0</v>
      </c>
      <c r="Z218" s="2">
        <v>70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</row>
    <row r="219" spans="1:55" x14ac:dyDescent="0.25">
      <c r="A219" s="2" t="s">
        <v>214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34</v>
      </c>
      <c r="V219" s="2">
        <v>0</v>
      </c>
      <c r="W219" s="2">
        <v>0</v>
      </c>
      <c r="X219" s="2">
        <v>0</v>
      </c>
      <c r="Y219" s="2">
        <v>0</v>
      </c>
      <c r="Z219" s="2">
        <v>55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11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</row>
    <row r="220" spans="1:55" x14ac:dyDescent="0.25">
      <c r="A220" s="2" t="s">
        <v>215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42</v>
      </c>
      <c r="V220" s="2">
        <v>0</v>
      </c>
      <c r="W220" s="2">
        <v>0</v>
      </c>
      <c r="X220" s="2">
        <v>0</v>
      </c>
      <c r="Y220" s="2">
        <v>0</v>
      </c>
      <c r="Z220" s="2">
        <v>43</v>
      </c>
      <c r="AA220" s="2">
        <v>9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6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</row>
    <row r="221" spans="1:55" x14ac:dyDescent="0.25">
      <c r="A221" s="2" t="s">
        <v>216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25</v>
      </c>
      <c r="V221" s="2">
        <v>0</v>
      </c>
      <c r="W221" s="2">
        <v>0</v>
      </c>
      <c r="X221" s="2">
        <v>0</v>
      </c>
      <c r="Y221" s="2">
        <v>0</v>
      </c>
      <c r="Z221" s="2">
        <v>75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</row>
    <row r="222" spans="1:55" x14ac:dyDescent="0.25">
      <c r="A222" s="2" t="s">
        <v>217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25</v>
      </c>
      <c r="L222" s="2">
        <v>0</v>
      </c>
      <c r="M222" s="2">
        <v>0</v>
      </c>
      <c r="N222" s="2">
        <v>75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100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</row>
    <row r="223" spans="1:55" x14ac:dyDescent="0.25">
      <c r="A223" s="2" t="s">
        <v>218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100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50</v>
      </c>
      <c r="AA223" s="2">
        <v>0</v>
      </c>
      <c r="AB223" s="2">
        <v>0</v>
      </c>
      <c r="AC223" s="2">
        <v>50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</row>
    <row r="224" spans="1:55" x14ac:dyDescent="0.25">
      <c r="A224" s="2" t="s">
        <v>219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3</v>
      </c>
      <c r="V224" s="2">
        <v>0</v>
      </c>
      <c r="W224" s="2">
        <v>0</v>
      </c>
      <c r="X224" s="2">
        <v>0</v>
      </c>
      <c r="Y224" s="2">
        <v>0</v>
      </c>
      <c r="Z224" s="2">
        <v>96</v>
      </c>
      <c r="AA224" s="2">
        <v>1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</row>
    <row r="225" spans="1:55" x14ac:dyDescent="0.25">
      <c r="A225" s="2" t="s">
        <v>220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45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5</v>
      </c>
      <c r="V225" s="2">
        <v>95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</row>
    <row r="226" spans="1:55" x14ac:dyDescent="0.25">
      <c r="A226" s="2" t="s">
        <v>221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100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10</v>
      </c>
      <c r="Z226" s="2">
        <v>0</v>
      </c>
      <c r="AA226" s="2">
        <v>0</v>
      </c>
      <c r="AB226" s="2">
        <v>0</v>
      </c>
      <c r="AC226" s="2">
        <v>90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</row>
    <row r="227" spans="1:55" x14ac:dyDescent="0.25">
      <c r="A227" s="2" t="s">
        <v>222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54</v>
      </c>
      <c r="V227" s="2">
        <v>0</v>
      </c>
      <c r="W227" s="2">
        <v>0</v>
      </c>
      <c r="X227" s="2">
        <v>0</v>
      </c>
      <c r="Y227" s="2">
        <v>31</v>
      </c>
      <c r="Z227" s="2">
        <v>15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</row>
    <row r="228" spans="1:55" x14ac:dyDescent="0.25">
      <c r="A228" s="2" t="s">
        <v>223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100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defaultColWidth="11" defaultRowHeight="15.75" x14ac:dyDescent="0.25"/>
  <cols>
    <col min="1" max="40" width="11" style="2"/>
    <col min="41" max="41" width="14.375" style="2" customWidth="1"/>
    <col min="42" max="16384" width="11" style="2"/>
  </cols>
  <sheetData>
    <row r="1" spans="1:55" x14ac:dyDescent="0.25">
      <c r="A1" s="2" t="s">
        <v>288</v>
      </c>
      <c r="B1" s="2">
        <v>221</v>
      </c>
    </row>
    <row r="2" spans="1:55" x14ac:dyDescent="0.25">
      <c r="A2" s="2" t="s">
        <v>289</v>
      </c>
      <c r="B2" s="2">
        <v>54</v>
      </c>
    </row>
    <row r="3" spans="1:55" x14ac:dyDescent="0.25">
      <c r="B3" s="2" t="s">
        <v>287</v>
      </c>
      <c r="C3" s="2" t="s">
        <v>287</v>
      </c>
      <c r="D3" s="2" t="s">
        <v>287</v>
      </c>
      <c r="E3" s="2" t="s">
        <v>287</v>
      </c>
      <c r="F3" s="2" t="s">
        <v>287</v>
      </c>
      <c r="G3" s="2" t="s">
        <v>287</v>
      </c>
      <c r="H3" s="2" t="s">
        <v>287</v>
      </c>
      <c r="I3" s="2" t="s">
        <v>287</v>
      </c>
      <c r="J3" s="2" t="s">
        <v>287</v>
      </c>
      <c r="K3" s="2" t="s">
        <v>287</v>
      </c>
      <c r="L3" s="2" t="s">
        <v>287</v>
      </c>
      <c r="M3" s="2" t="s">
        <v>287</v>
      </c>
      <c r="N3" s="2" t="s">
        <v>287</v>
      </c>
      <c r="O3" s="2" t="s">
        <v>287</v>
      </c>
      <c r="P3" s="2" t="s">
        <v>287</v>
      </c>
      <c r="Q3" s="2" t="s">
        <v>287</v>
      </c>
      <c r="R3" s="2" t="s">
        <v>287</v>
      </c>
      <c r="S3" s="2" t="s">
        <v>287</v>
      </c>
      <c r="T3" s="2" t="s">
        <v>287</v>
      </c>
      <c r="U3" s="2" t="s">
        <v>287</v>
      </c>
      <c r="V3" s="2" t="s">
        <v>287</v>
      </c>
      <c r="W3" s="2" t="s">
        <v>287</v>
      </c>
      <c r="X3" s="2" t="s">
        <v>287</v>
      </c>
      <c r="Y3" s="2" t="s">
        <v>287</v>
      </c>
      <c r="Z3" s="2" t="s">
        <v>287</v>
      </c>
      <c r="AA3" s="2" t="s">
        <v>287</v>
      </c>
      <c r="AB3" s="2" t="s">
        <v>287</v>
      </c>
      <c r="AC3" s="2" t="s">
        <v>287</v>
      </c>
      <c r="AD3" s="2" t="s">
        <v>287</v>
      </c>
      <c r="AE3" s="2" t="s">
        <v>287</v>
      </c>
      <c r="AF3" s="2" t="s">
        <v>287</v>
      </c>
      <c r="AG3" s="2" t="s">
        <v>287</v>
      </c>
      <c r="AH3" s="2" t="s">
        <v>287</v>
      </c>
      <c r="AI3" s="2" t="s">
        <v>287</v>
      </c>
      <c r="AJ3" s="2" t="s">
        <v>287</v>
      </c>
      <c r="AK3" s="2" t="s">
        <v>287</v>
      </c>
      <c r="AL3" s="2" t="s">
        <v>287</v>
      </c>
      <c r="AM3" s="2" t="s">
        <v>287</v>
      </c>
      <c r="AN3" s="2" t="s">
        <v>287</v>
      </c>
      <c r="AO3" s="2" t="s">
        <v>287</v>
      </c>
      <c r="AP3" s="2" t="s">
        <v>287</v>
      </c>
      <c r="AQ3" s="2" t="s">
        <v>287</v>
      </c>
      <c r="AR3" s="2" t="s">
        <v>287</v>
      </c>
      <c r="AS3" s="2" t="s">
        <v>287</v>
      </c>
      <c r="AT3" s="2" t="s">
        <v>287</v>
      </c>
      <c r="AU3" s="2" t="s">
        <v>287</v>
      </c>
      <c r="AV3" s="2" t="s">
        <v>287</v>
      </c>
      <c r="AW3" s="2" t="s">
        <v>287</v>
      </c>
      <c r="AX3" s="2" t="s">
        <v>287</v>
      </c>
      <c r="AY3" s="2" t="s">
        <v>287</v>
      </c>
      <c r="AZ3" s="2" t="s">
        <v>287</v>
      </c>
      <c r="BA3" s="2" t="s">
        <v>287</v>
      </c>
      <c r="BB3" s="2" t="s">
        <v>287</v>
      </c>
      <c r="BC3" s="2" t="s">
        <v>287</v>
      </c>
    </row>
    <row r="4" spans="1:55" x14ac:dyDescent="0.25">
      <c r="A4" s="3" t="s">
        <v>286</v>
      </c>
      <c r="B4" s="3" t="s">
        <v>227</v>
      </c>
      <c r="C4" s="3" t="s">
        <v>228</v>
      </c>
      <c r="D4" s="3" t="s">
        <v>229</v>
      </c>
      <c r="E4" s="3" t="s">
        <v>230</v>
      </c>
      <c r="F4" s="3" t="s">
        <v>231</v>
      </c>
      <c r="G4" s="3" t="s">
        <v>232</v>
      </c>
      <c r="H4" s="3" t="s">
        <v>233</v>
      </c>
      <c r="I4" s="3" t="s">
        <v>234</v>
      </c>
      <c r="J4" s="3" t="s">
        <v>235</v>
      </c>
      <c r="K4" s="3" t="s">
        <v>236</v>
      </c>
      <c r="L4" s="3" t="s">
        <v>237</v>
      </c>
      <c r="M4" s="3" t="s">
        <v>238</v>
      </c>
      <c r="N4" s="3" t="s">
        <v>239</v>
      </c>
      <c r="O4" s="3" t="s">
        <v>240</v>
      </c>
      <c r="P4" s="3" t="s">
        <v>241</v>
      </c>
      <c r="Q4" s="3" t="s">
        <v>242</v>
      </c>
      <c r="R4" s="3" t="s">
        <v>243</v>
      </c>
      <c r="S4" s="3" t="s">
        <v>244</v>
      </c>
      <c r="T4" s="3" t="s">
        <v>245</v>
      </c>
      <c r="U4" s="3" t="s">
        <v>246</v>
      </c>
      <c r="V4" s="3" t="s">
        <v>247</v>
      </c>
      <c r="W4" s="3" t="s">
        <v>248</v>
      </c>
      <c r="X4" s="3" t="s">
        <v>249</v>
      </c>
      <c r="Y4" s="3" t="s">
        <v>250</v>
      </c>
      <c r="Z4" s="3" t="s">
        <v>251</v>
      </c>
      <c r="AA4" s="3" t="s">
        <v>252</v>
      </c>
      <c r="AB4" s="3" t="s">
        <v>253</v>
      </c>
      <c r="AC4" s="3" t="s">
        <v>254</v>
      </c>
      <c r="AD4" s="3" t="s">
        <v>255</v>
      </c>
      <c r="AE4" s="3" t="s">
        <v>256</v>
      </c>
      <c r="AF4" s="3" t="s">
        <v>257</v>
      </c>
      <c r="AG4" s="3" t="s">
        <v>258</v>
      </c>
      <c r="AH4" s="3" t="s">
        <v>259</v>
      </c>
      <c r="AI4" s="3" t="s">
        <v>260</v>
      </c>
      <c r="AJ4" s="3" t="s">
        <v>261</v>
      </c>
      <c r="AK4" s="3" t="s">
        <v>262</v>
      </c>
      <c r="AL4" s="3" t="s">
        <v>263</v>
      </c>
      <c r="AM4" s="3" t="s">
        <v>264</v>
      </c>
      <c r="AN4" s="3" t="s">
        <v>265</v>
      </c>
      <c r="AO4" s="3" t="s">
        <v>266</v>
      </c>
      <c r="AP4" s="3" t="s">
        <v>267</v>
      </c>
      <c r="AQ4" s="3" t="s">
        <v>268</v>
      </c>
      <c r="AR4" s="3" t="s">
        <v>269</v>
      </c>
      <c r="AS4" s="3" t="s">
        <v>270</v>
      </c>
      <c r="AT4" s="3" t="s">
        <v>271</v>
      </c>
      <c r="AU4" s="3" t="s">
        <v>272</v>
      </c>
      <c r="AV4" s="3" t="s">
        <v>273</v>
      </c>
      <c r="AW4" s="3" t="s">
        <v>274</v>
      </c>
      <c r="AX4" s="3" t="s">
        <v>275</v>
      </c>
      <c r="AY4" s="3" t="s">
        <v>276</v>
      </c>
      <c r="AZ4" s="3" t="s">
        <v>277</v>
      </c>
      <c r="BA4" s="3" t="s">
        <v>278</v>
      </c>
      <c r="BB4" s="3" t="s">
        <v>279</v>
      </c>
      <c r="BC4" s="3" t="s">
        <v>280</v>
      </c>
    </row>
    <row r="5" spans="1:55" x14ac:dyDescent="0.25">
      <c r="A5" s="2" t="s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31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3</v>
      </c>
      <c r="W5" s="2">
        <v>0</v>
      </c>
      <c r="X5" s="2">
        <v>0</v>
      </c>
      <c r="Y5" s="2">
        <v>0</v>
      </c>
      <c r="Z5" s="2">
        <v>15</v>
      </c>
      <c r="AA5" s="2">
        <v>0</v>
      </c>
      <c r="AB5" s="2">
        <v>0</v>
      </c>
      <c r="AC5" s="2">
        <v>21</v>
      </c>
      <c r="AD5" s="2">
        <v>39</v>
      </c>
      <c r="AE5" s="2">
        <v>1</v>
      </c>
      <c r="AF5" s="2">
        <v>16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</row>
    <row r="6" spans="1:55" x14ac:dyDescent="0.25">
      <c r="A6" s="2" t="s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100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100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55" x14ac:dyDescent="0.25">
      <c r="A7" s="2" t="s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2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48</v>
      </c>
      <c r="X7" s="2">
        <v>0</v>
      </c>
      <c r="Y7" s="2">
        <v>0</v>
      </c>
      <c r="Z7" s="2">
        <v>2</v>
      </c>
      <c r="AA7" s="2">
        <v>0</v>
      </c>
      <c r="AB7" s="2">
        <v>0</v>
      </c>
      <c r="AC7" s="2">
        <v>0</v>
      </c>
      <c r="AD7" s="2">
        <v>22</v>
      </c>
      <c r="AE7" s="2">
        <v>0</v>
      </c>
      <c r="AF7" s="2">
        <v>0</v>
      </c>
      <c r="AG7" s="2">
        <v>28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5">
      <c r="A8" s="2" t="s">
        <v>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100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100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</row>
    <row r="9" spans="1:55" x14ac:dyDescent="0.25">
      <c r="A9" s="2" t="s">
        <v>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21</v>
      </c>
      <c r="X9" s="2">
        <v>0</v>
      </c>
      <c r="Y9" s="2">
        <v>0</v>
      </c>
      <c r="Z9" s="2">
        <v>3</v>
      </c>
      <c r="AA9" s="2">
        <v>0</v>
      </c>
      <c r="AB9" s="2">
        <v>0</v>
      </c>
      <c r="AC9" s="2">
        <v>0</v>
      </c>
      <c r="AD9" s="2">
        <v>37</v>
      </c>
      <c r="AE9" s="2">
        <v>39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</row>
    <row r="10" spans="1:55" x14ac:dyDescent="0.25">
      <c r="A10" s="2" t="s">
        <v>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35</v>
      </c>
      <c r="X10" s="2">
        <v>0</v>
      </c>
      <c r="Y10" s="2">
        <v>0</v>
      </c>
      <c r="Z10" s="2">
        <v>4</v>
      </c>
      <c r="AA10" s="2">
        <v>0</v>
      </c>
      <c r="AB10" s="2">
        <v>0</v>
      </c>
      <c r="AC10" s="2">
        <v>37</v>
      </c>
      <c r="AD10" s="2">
        <v>9</v>
      </c>
      <c r="AE10" s="2">
        <v>11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3</v>
      </c>
      <c r="AN10" s="2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</row>
    <row r="11" spans="1:55" x14ac:dyDescent="0.25">
      <c r="A11" s="2" t="s">
        <v>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98</v>
      </c>
      <c r="X11" s="2">
        <v>2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</row>
    <row r="12" spans="1:55" x14ac:dyDescent="0.25">
      <c r="A12" s="2" t="s">
        <v>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60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12</v>
      </c>
      <c r="AD12" s="2">
        <v>12</v>
      </c>
      <c r="AE12" s="2">
        <v>7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</row>
    <row r="13" spans="1:55" x14ac:dyDescent="0.25">
      <c r="A13" s="2" t="s">
        <v>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36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36</v>
      </c>
      <c r="AD13" s="2">
        <v>7</v>
      </c>
      <c r="AE13" s="2">
        <v>2</v>
      </c>
      <c r="AF13" s="2">
        <v>0</v>
      </c>
      <c r="AG13" s="2">
        <v>12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5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</row>
    <row r="14" spans="1:55" x14ac:dyDescent="0.25">
      <c r="A14" s="2" t="s">
        <v>9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30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72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14</v>
      </c>
      <c r="AD14" s="2">
        <v>10</v>
      </c>
      <c r="AE14" s="2">
        <v>0</v>
      </c>
      <c r="AF14" s="2">
        <v>4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</row>
    <row r="15" spans="1:55" x14ac:dyDescent="0.25">
      <c r="A15" s="2" t="s">
        <v>10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100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100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</row>
    <row r="16" spans="1:55" x14ac:dyDescent="0.25">
      <c r="A16" s="2" t="s">
        <v>11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8</v>
      </c>
      <c r="AA16" s="2">
        <v>0</v>
      </c>
      <c r="AB16" s="2">
        <v>0</v>
      </c>
      <c r="AC16" s="2">
        <v>0</v>
      </c>
      <c r="AD16" s="2">
        <v>92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</row>
    <row r="17" spans="1:55" x14ac:dyDescent="0.25">
      <c r="A17" s="2" t="s">
        <v>12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85</v>
      </c>
      <c r="AA17" s="2">
        <v>0</v>
      </c>
      <c r="AB17" s="2">
        <v>0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13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</row>
    <row r="18" spans="1:55" x14ac:dyDescent="0.25">
      <c r="A18" s="2" t="s">
        <v>13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4</v>
      </c>
      <c r="V18" s="2">
        <v>0</v>
      </c>
      <c r="W18" s="2">
        <v>0</v>
      </c>
      <c r="X18" s="2">
        <v>0</v>
      </c>
      <c r="Y18" s="2">
        <v>0</v>
      </c>
      <c r="Z18" s="2">
        <v>95</v>
      </c>
      <c r="AA18" s="2">
        <v>0</v>
      </c>
      <c r="AB18" s="2">
        <v>0</v>
      </c>
      <c r="AC18" s="2">
        <v>0</v>
      </c>
      <c r="AD18" s="2">
        <v>2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</row>
    <row r="19" spans="1:55" x14ac:dyDescent="0.25">
      <c r="A19" s="2" t="s">
        <v>14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4</v>
      </c>
      <c r="V19" s="2">
        <v>0</v>
      </c>
      <c r="W19" s="2">
        <v>0</v>
      </c>
      <c r="X19" s="2">
        <v>0</v>
      </c>
      <c r="Y19" s="2">
        <v>0</v>
      </c>
      <c r="Z19" s="2">
        <v>61</v>
      </c>
      <c r="AA19" s="2">
        <v>17</v>
      </c>
      <c r="AB19" s="2">
        <v>0</v>
      </c>
      <c r="AC19" s="2">
        <v>9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9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</row>
    <row r="20" spans="1:55" x14ac:dyDescent="0.25">
      <c r="A20" s="2" t="s">
        <v>15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</v>
      </c>
      <c r="V20" s="2">
        <v>0</v>
      </c>
      <c r="W20" s="2">
        <v>0</v>
      </c>
      <c r="X20" s="2">
        <v>0</v>
      </c>
      <c r="Y20" s="2">
        <v>0</v>
      </c>
      <c r="Z20" s="2">
        <v>33</v>
      </c>
      <c r="AA20" s="2">
        <v>7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4</v>
      </c>
      <c r="AJ20" s="2">
        <v>4</v>
      </c>
      <c r="AK20" s="2">
        <v>0</v>
      </c>
      <c r="AL20" s="2">
        <v>0</v>
      </c>
      <c r="AM20" s="2">
        <v>0</v>
      </c>
      <c r="AN20" s="2">
        <v>3</v>
      </c>
      <c r="AO20" s="2">
        <v>6</v>
      </c>
      <c r="AP20" s="2">
        <v>37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</row>
    <row r="21" spans="1:55" x14ac:dyDescent="0.25">
      <c r="A21" s="2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4</v>
      </c>
      <c r="V21" s="2">
        <v>0</v>
      </c>
      <c r="W21" s="2">
        <v>0</v>
      </c>
      <c r="X21" s="2">
        <v>0</v>
      </c>
      <c r="Y21" s="2">
        <v>0</v>
      </c>
      <c r="Z21" s="2">
        <v>12</v>
      </c>
      <c r="AA21" s="2">
        <v>5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34</v>
      </c>
      <c r="AO21" s="2">
        <v>0</v>
      </c>
      <c r="AP21" s="2">
        <v>41</v>
      </c>
      <c r="AQ21" s="2">
        <v>4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</row>
    <row r="22" spans="1:55" x14ac:dyDescent="0.25">
      <c r="A22" s="2" t="s">
        <v>17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56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1</v>
      </c>
      <c r="AN22" s="2">
        <v>34</v>
      </c>
      <c r="AO22" s="2">
        <v>0</v>
      </c>
      <c r="AP22" s="2">
        <v>0</v>
      </c>
      <c r="AQ22" s="2">
        <v>1</v>
      </c>
      <c r="AR22" s="2">
        <v>8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</row>
    <row r="23" spans="1:55" x14ac:dyDescent="0.25">
      <c r="A23" s="2" t="s">
        <v>18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33</v>
      </c>
      <c r="V23" s="2">
        <v>0</v>
      </c>
      <c r="W23" s="2">
        <v>0</v>
      </c>
      <c r="X23" s="2">
        <v>7</v>
      </c>
      <c r="Y23" s="2">
        <v>0</v>
      </c>
      <c r="Z23" s="2">
        <v>53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4</v>
      </c>
      <c r="AN23" s="2">
        <v>3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</row>
    <row r="24" spans="1:55" x14ac:dyDescent="0.25">
      <c r="A24" s="2" t="s">
        <v>19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30</v>
      </c>
      <c r="V24" s="2">
        <v>0</v>
      </c>
      <c r="W24" s="2">
        <v>0</v>
      </c>
      <c r="X24" s="2">
        <v>15</v>
      </c>
      <c r="Y24" s="2">
        <v>0</v>
      </c>
      <c r="Z24" s="2">
        <v>48</v>
      </c>
      <c r="AA24" s="2">
        <v>0</v>
      </c>
      <c r="AB24" s="2">
        <v>0</v>
      </c>
      <c r="AC24" s="2">
        <v>3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2</v>
      </c>
      <c r="AO24" s="2">
        <v>0</v>
      </c>
      <c r="AP24" s="2">
        <v>2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</row>
    <row r="25" spans="1:55" x14ac:dyDescent="0.25">
      <c r="A25" s="2" t="s">
        <v>20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77</v>
      </c>
      <c r="V25" s="2">
        <v>0</v>
      </c>
      <c r="W25" s="2">
        <v>0</v>
      </c>
      <c r="X25" s="2">
        <v>4</v>
      </c>
      <c r="Y25" s="2">
        <v>0</v>
      </c>
      <c r="Z25" s="2">
        <v>15</v>
      </c>
      <c r="AA25" s="2">
        <v>0</v>
      </c>
      <c r="AB25" s="2">
        <v>0</v>
      </c>
      <c r="AC25" s="2">
        <v>4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</row>
    <row r="26" spans="1:55" x14ac:dyDescent="0.25">
      <c r="A26" s="2" t="s">
        <v>21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22</v>
      </c>
      <c r="V26" s="2">
        <v>0</v>
      </c>
      <c r="W26" s="2">
        <v>0</v>
      </c>
      <c r="X26" s="2">
        <v>0</v>
      </c>
      <c r="Y26" s="2">
        <v>0</v>
      </c>
      <c r="Z26" s="2">
        <v>9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62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</row>
    <row r="27" spans="1:55" x14ac:dyDescent="0.25">
      <c r="A27" s="2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67</v>
      </c>
      <c r="V27" s="2">
        <v>0</v>
      </c>
      <c r="W27" s="2">
        <v>0</v>
      </c>
      <c r="X27" s="2">
        <v>0</v>
      </c>
      <c r="Y27" s="2">
        <v>0</v>
      </c>
      <c r="Z27" s="2">
        <v>15</v>
      </c>
      <c r="AA27" s="2">
        <v>1</v>
      </c>
      <c r="AB27" s="2">
        <v>0</v>
      </c>
      <c r="AC27" s="2">
        <v>5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6</v>
      </c>
      <c r="AN27" s="2">
        <v>6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</row>
    <row r="28" spans="1:55" x14ac:dyDescent="0.25">
      <c r="A28" s="2" t="s">
        <v>23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84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26</v>
      </c>
      <c r="V28" s="2">
        <v>0</v>
      </c>
      <c r="W28" s="2">
        <v>0</v>
      </c>
      <c r="X28" s="2">
        <v>0</v>
      </c>
      <c r="Y28" s="2">
        <v>0</v>
      </c>
      <c r="Z28" s="2">
        <v>38</v>
      </c>
      <c r="AA28" s="2">
        <v>31</v>
      </c>
      <c r="AB28" s="2">
        <v>0</v>
      </c>
      <c r="AC28" s="2">
        <v>5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</row>
    <row r="29" spans="1:55" x14ac:dyDescent="0.25">
      <c r="A29" s="2" t="s">
        <v>24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52</v>
      </c>
      <c r="V29" s="2">
        <v>0</v>
      </c>
      <c r="W29" s="2">
        <v>0</v>
      </c>
      <c r="X29" s="2">
        <v>0</v>
      </c>
      <c r="Y29" s="2">
        <v>0</v>
      </c>
      <c r="Z29" s="2">
        <v>47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</row>
    <row r="30" spans="1:55" x14ac:dyDescent="0.25">
      <c r="A30" s="2" t="s">
        <v>25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27</v>
      </c>
      <c r="T30" s="2">
        <v>0</v>
      </c>
      <c r="U30" s="2">
        <v>5</v>
      </c>
      <c r="V30" s="2">
        <v>0</v>
      </c>
      <c r="W30" s="2">
        <v>0</v>
      </c>
      <c r="X30" s="2">
        <v>0</v>
      </c>
      <c r="Y30" s="2">
        <v>0</v>
      </c>
      <c r="Z30" s="2">
        <v>22</v>
      </c>
      <c r="AA30" s="2">
        <v>0</v>
      </c>
      <c r="AB30" s="2">
        <v>0</v>
      </c>
      <c r="AC30" s="2">
        <v>36</v>
      </c>
      <c r="AD30" s="2">
        <v>20</v>
      </c>
      <c r="AE30" s="2">
        <v>16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</row>
    <row r="31" spans="1:55" x14ac:dyDescent="0.25">
      <c r="A31" s="2" t="s">
        <v>26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66</v>
      </c>
      <c r="AA31" s="2">
        <v>0</v>
      </c>
      <c r="AB31" s="2">
        <v>0</v>
      </c>
      <c r="AC31" s="2">
        <v>0</v>
      </c>
      <c r="AD31" s="2">
        <v>0</v>
      </c>
      <c r="AE31" s="2">
        <v>34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</row>
    <row r="32" spans="1:55" x14ac:dyDescent="0.25">
      <c r="A32" s="2" t="s">
        <v>27</v>
      </c>
      <c r="B32" s="2">
        <v>0</v>
      </c>
      <c r="C32" s="2">
        <v>0</v>
      </c>
      <c r="D32" s="2">
        <v>0</v>
      </c>
      <c r="E32" s="2">
        <v>1</v>
      </c>
      <c r="F32" s="2">
        <v>0</v>
      </c>
      <c r="G32" s="2">
        <v>0</v>
      </c>
      <c r="H32" s="2">
        <v>0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</v>
      </c>
      <c r="V32" s="2">
        <v>0</v>
      </c>
      <c r="W32" s="2">
        <v>0</v>
      </c>
      <c r="X32" s="2">
        <v>0</v>
      </c>
      <c r="Y32" s="2">
        <v>13</v>
      </c>
      <c r="Z32" s="2">
        <v>56</v>
      </c>
      <c r="AA32" s="2">
        <v>0</v>
      </c>
      <c r="AB32" s="2">
        <v>0</v>
      </c>
      <c r="AC32" s="2">
        <v>0</v>
      </c>
      <c r="AD32" s="2">
        <v>14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15</v>
      </c>
      <c r="BC32" s="2">
        <v>0</v>
      </c>
    </row>
    <row r="33" spans="1:55" x14ac:dyDescent="0.25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25</v>
      </c>
      <c r="V33" s="2">
        <v>0</v>
      </c>
      <c r="W33" s="2">
        <v>0</v>
      </c>
      <c r="X33" s="2">
        <v>17</v>
      </c>
      <c r="Y33" s="2">
        <v>20</v>
      </c>
      <c r="Z33" s="2">
        <v>20</v>
      </c>
      <c r="AA33" s="2">
        <v>0</v>
      </c>
      <c r="AB33" s="2">
        <v>0</v>
      </c>
      <c r="AC33" s="2">
        <v>0</v>
      </c>
      <c r="AD33" s="2">
        <v>1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6</v>
      </c>
      <c r="AO33" s="2">
        <v>0</v>
      </c>
      <c r="AP33" s="2">
        <v>0</v>
      </c>
      <c r="AQ33" s="2">
        <v>0</v>
      </c>
      <c r="AR33" s="2">
        <v>0</v>
      </c>
      <c r="AS33" s="2">
        <v>7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</row>
    <row r="34" spans="1:55" x14ac:dyDescent="0.25">
      <c r="A34" s="2" t="s">
        <v>29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34</v>
      </c>
      <c r="V34" s="2">
        <v>0</v>
      </c>
      <c r="W34" s="2">
        <v>0</v>
      </c>
      <c r="X34" s="2">
        <v>0</v>
      </c>
      <c r="Y34" s="2">
        <v>0</v>
      </c>
      <c r="Z34" s="2">
        <v>66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</row>
    <row r="35" spans="1:55" x14ac:dyDescent="0.25">
      <c r="A35" s="2" t="s">
        <v>30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15</v>
      </c>
      <c r="V35" s="2">
        <v>0</v>
      </c>
      <c r="W35" s="2">
        <v>0</v>
      </c>
      <c r="X35" s="2">
        <v>0</v>
      </c>
      <c r="Y35" s="2">
        <v>78</v>
      </c>
      <c r="Z35" s="2">
        <v>17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</row>
    <row r="36" spans="1:55" x14ac:dyDescent="0.25">
      <c r="A36" s="2" t="s">
        <v>31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41</v>
      </c>
      <c r="V36" s="2">
        <v>0</v>
      </c>
      <c r="W36" s="2">
        <v>0</v>
      </c>
      <c r="X36" s="2">
        <v>0</v>
      </c>
      <c r="Y36" s="2">
        <v>13</v>
      </c>
      <c r="Z36" s="2">
        <v>35</v>
      </c>
      <c r="AA36" s="2">
        <v>7</v>
      </c>
      <c r="AB36" s="2">
        <v>0</v>
      </c>
      <c r="AC36" s="2">
        <v>4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</row>
    <row r="37" spans="1:55" x14ac:dyDescent="0.25">
      <c r="A37" s="2" t="s">
        <v>32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19</v>
      </c>
      <c r="V37" s="2">
        <v>0</v>
      </c>
      <c r="W37" s="2">
        <v>0</v>
      </c>
      <c r="X37" s="2">
        <v>0</v>
      </c>
      <c r="Y37" s="2">
        <v>10</v>
      </c>
      <c r="Z37" s="2">
        <v>58</v>
      </c>
      <c r="AA37" s="2">
        <v>3</v>
      </c>
      <c r="AB37" s="2">
        <v>0</v>
      </c>
      <c r="AC37" s="2">
        <v>0</v>
      </c>
      <c r="AD37" s="2">
        <v>10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</row>
    <row r="38" spans="1:55" x14ac:dyDescent="0.25">
      <c r="A38" s="2" t="s">
        <v>33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31</v>
      </c>
      <c r="V38" s="2">
        <v>0</v>
      </c>
      <c r="W38" s="2">
        <v>0</v>
      </c>
      <c r="X38" s="2">
        <v>0</v>
      </c>
      <c r="Y38" s="2">
        <v>9</v>
      </c>
      <c r="Z38" s="2">
        <v>53</v>
      </c>
      <c r="AA38" s="2">
        <v>3</v>
      </c>
      <c r="AB38" s="2">
        <v>0</v>
      </c>
      <c r="AC38" s="2">
        <v>4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</row>
    <row r="39" spans="1:55" x14ac:dyDescent="0.25">
      <c r="A39" s="2" t="s">
        <v>34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5</v>
      </c>
      <c r="V39" s="2">
        <v>0</v>
      </c>
      <c r="W39" s="2">
        <v>0</v>
      </c>
      <c r="X39" s="2">
        <v>0</v>
      </c>
      <c r="Y39" s="2">
        <v>37</v>
      </c>
      <c r="Z39" s="2">
        <v>53</v>
      </c>
      <c r="AA39" s="2">
        <v>0</v>
      </c>
      <c r="AB39" s="2">
        <v>0</v>
      </c>
      <c r="AC39" s="2">
        <v>0</v>
      </c>
      <c r="AD39" s="2">
        <v>5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</row>
    <row r="40" spans="1:55" x14ac:dyDescent="0.25">
      <c r="A40" s="2" t="s">
        <v>35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5</v>
      </c>
      <c r="V40" s="2">
        <v>0</v>
      </c>
      <c r="W40" s="2">
        <v>0</v>
      </c>
      <c r="X40" s="2">
        <v>0</v>
      </c>
      <c r="Y40" s="2">
        <v>12</v>
      </c>
      <c r="Z40" s="2">
        <v>6</v>
      </c>
      <c r="AA40" s="2">
        <v>44</v>
      </c>
      <c r="AB40" s="2">
        <v>0</v>
      </c>
      <c r="AC40" s="2">
        <v>33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</row>
    <row r="41" spans="1:55" x14ac:dyDescent="0.25">
      <c r="A41" s="2" t="s">
        <v>36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58</v>
      </c>
      <c r="V41" s="2">
        <v>0</v>
      </c>
      <c r="W41" s="2">
        <v>0</v>
      </c>
      <c r="X41" s="2">
        <v>0</v>
      </c>
      <c r="Y41" s="2">
        <v>31</v>
      </c>
      <c r="Z41" s="2">
        <v>9</v>
      </c>
      <c r="AA41" s="2">
        <v>0</v>
      </c>
      <c r="AB41" s="2">
        <v>0</v>
      </c>
      <c r="AC41" s="2">
        <v>2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</row>
    <row r="42" spans="1:55" x14ac:dyDescent="0.25">
      <c r="A42" s="2" t="s">
        <v>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51</v>
      </c>
      <c r="V42" s="2">
        <v>0</v>
      </c>
      <c r="W42" s="2">
        <v>0</v>
      </c>
      <c r="X42" s="2">
        <v>0</v>
      </c>
      <c r="Y42" s="2">
        <v>0</v>
      </c>
      <c r="Z42" s="2">
        <v>39</v>
      </c>
      <c r="AA42" s="2">
        <v>0</v>
      </c>
      <c r="AB42" s="2">
        <v>4</v>
      </c>
      <c r="AC42" s="2">
        <v>6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</row>
    <row r="43" spans="1:55" x14ac:dyDescent="0.25">
      <c r="A43" s="2" t="s">
        <v>38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35</v>
      </c>
      <c r="V43" s="2">
        <v>0</v>
      </c>
      <c r="W43" s="2">
        <v>0</v>
      </c>
      <c r="X43" s="2">
        <v>0</v>
      </c>
      <c r="Y43" s="2">
        <v>0</v>
      </c>
      <c r="Z43" s="2">
        <v>57</v>
      </c>
      <c r="AA43" s="2">
        <v>8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</row>
    <row r="44" spans="1:55" x14ac:dyDescent="0.25">
      <c r="A44" s="2" t="s">
        <v>39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</v>
      </c>
      <c r="V44" s="2">
        <v>0</v>
      </c>
      <c r="W44" s="2">
        <v>0</v>
      </c>
      <c r="X44" s="2">
        <v>0</v>
      </c>
      <c r="Y44" s="2">
        <v>6</v>
      </c>
      <c r="Z44" s="2">
        <v>78</v>
      </c>
      <c r="AA44" s="2">
        <v>0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3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</row>
    <row r="45" spans="1:55" x14ac:dyDescent="0.25">
      <c r="A45" s="2" t="s">
        <v>40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98</v>
      </c>
      <c r="L45" s="2">
        <v>0</v>
      </c>
      <c r="M45" s="2">
        <v>0</v>
      </c>
      <c r="N45" s="2">
        <v>0</v>
      </c>
      <c r="O45" s="2">
        <v>0</v>
      </c>
      <c r="P45" s="2">
        <v>2</v>
      </c>
      <c r="Q45" s="2">
        <v>0</v>
      </c>
      <c r="R45" s="2">
        <v>0</v>
      </c>
      <c r="S45" s="2">
        <v>0</v>
      </c>
      <c r="T45" s="2">
        <v>0</v>
      </c>
      <c r="U45" s="2">
        <v>20</v>
      </c>
      <c r="V45" s="2">
        <v>0</v>
      </c>
      <c r="W45" s="2">
        <v>0</v>
      </c>
      <c r="X45" s="2">
        <v>0</v>
      </c>
      <c r="Y45" s="2">
        <v>0</v>
      </c>
      <c r="Z45" s="2">
        <v>29</v>
      </c>
      <c r="AA45" s="2">
        <v>0</v>
      </c>
      <c r="AB45" s="2">
        <v>0</v>
      </c>
      <c r="AC45" s="2">
        <v>31</v>
      </c>
      <c r="AD45" s="2">
        <v>20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</row>
    <row r="46" spans="1:55" x14ac:dyDescent="0.25">
      <c r="A46" s="2" t="s">
        <v>41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9</v>
      </c>
      <c r="V46" s="2">
        <v>1</v>
      </c>
      <c r="W46" s="2">
        <v>0</v>
      </c>
      <c r="X46" s="2">
        <v>0</v>
      </c>
      <c r="Y46" s="2">
        <v>78</v>
      </c>
      <c r="Z46" s="2">
        <v>8</v>
      </c>
      <c r="AA46" s="2">
        <v>0</v>
      </c>
      <c r="AB46" s="2">
        <v>0</v>
      </c>
      <c r="AC46" s="2">
        <v>4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</row>
    <row r="47" spans="1:55" x14ac:dyDescent="0.25">
      <c r="A47" s="2" t="s">
        <v>42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34</v>
      </c>
      <c r="V47" s="2">
        <v>0</v>
      </c>
      <c r="W47" s="2">
        <v>0</v>
      </c>
      <c r="X47" s="2">
        <v>0</v>
      </c>
      <c r="Y47" s="2">
        <v>0</v>
      </c>
      <c r="Z47" s="2">
        <v>62</v>
      </c>
      <c r="AA47" s="2">
        <v>4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</row>
    <row r="48" spans="1:55" x14ac:dyDescent="0.25">
      <c r="A48" s="2" t="s">
        <v>43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15</v>
      </c>
      <c r="V48" s="2">
        <v>0</v>
      </c>
      <c r="W48" s="2">
        <v>0</v>
      </c>
      <c r="X48" s="2">
        <v>4</v>
      </c>
      <c r="Y48" s="2">
        <v>24</v>
      </c>
      <c r="Z48" s="2">
        <v>55</v>
      </c>
      <c r="AA48" s="2">
        <v>0</v>
      </c>
      <c r="AB48" s="2">
        <v>0</v>
      </c>
      <c r="AC48" s="2">
        <v>0</v>
      </c>
      <c r="AD48" s="2">
        <v>1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2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</row>
    <row r="49" spans="1:55" x14ac:dyDescent="0.25">
      <c r="A49" s="2" t="s">
        <v>44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14</v>
      </c>
      <c r="V49" s="2">
        <v>0</v>
      </c>
      <c r="W49" s="2">
        <v>0</v>
      </c>
      <c r="X49" s="2">
        <v>0</v>
      </c>
      <c r="Y49" s="2">
        <v>0</v>
      </c>
      <c r="Z49" s="2">
        <v>80</v>
      </c>
      <c r="AA49" s="2">
        <v>0</v>
      </c>
      <c r="AB49" s="2">
        <v>0</v>
      </c>
      <c r="AC49" s="2">
        <v>0</v>
      </c>
      <c r="AD49" s="2">
        <v>6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</row>
    <row r="50" spans="1:55" x14ac:dyDescent="0.25">
      <c r="A50" s="2" t="s">
        <v>45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21</v>
      </c>
      <c r="V50" s="2">
        <v>0</v>
      </c>
      <c r="W50" s="2">
        <v>0</v>
      </c>
      <c r="X50" s="2">
        <v>20</v>
      </c>
      <c r="Y50" s="2">
        <v>2</v>
      </c>
      <c r="Z50" s="2">
        <v>45</v>
      </c>
      <c r="AA50" s="2">
        <v>0</v>
      </c>
      <c r="AB50" s="2">
        <v>0</v>
      </c>
      <c r="AC50" s="2">
        <v>1</v>
      </c>
      <c r="AD50" s="2">
        <v>5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4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2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</row>
    <row r="51" spans="1:55" x14ac:dyDescent="0.25">
      <c r="A51" s="2" t="s">
        <v>46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19</v>
      </c>
      <c r="Y51" s="2">
        <v>0</v>
      </c>
      <c r="Z51" s="2">
        <v>73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2</v>
      </c>
      <c r="AO51" s="2">
        <v>0</v>
      </c>
      <c r="AP51" s="2">
        <v>0</v>
      </c>
      <c r="AQ51" s="2">
        <v>0</v>
      </c>
      <c r="AR51" s="2">
        <v>0</v>
      </c>
      <c r="AS51" s="2">
        <v>5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</row>
    <row r="52" spans="1:55" x14ac:dyDescent="0.25">
      <c r="A52" s="2" t="s">
        <v>47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88</v>
      </c>
      <c r="AA52" s="2">
        <v>12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</row>
    <row r="53" spans="1:55" x14ac:dyDescent="0.25">
      <c r="A53" s="2" t="s">
        <v>48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</v>
      </c>
      <c r="W53" s="2">
        <v>0</v>
      </c>
      <c r="X53" s="2">
        <v>4</v>
      </c>
      <c r="Y53" s="2">
        <v>0</v>
      </c>
      <c r="Z53" s="2">
        <v>78</v>
      </c>
      <c r="AA53" s="2">
        <v>16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1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</row>
    <row r="54" spans="1:55" x14ac:dyDescent="0.25">
      <c r="A54" s="2" t="s">
        <v>49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</v>
      </c>
      <c r="V54" s="2">
        <v>0</v>
      </c>
      <c r="W54" s="2">
        <v>0</v>
      </c>
      <c r="X54" s="2">
        <v>0</v>
      </c>
      <c r="Y54" s="2">
        <v>0</v>
      </c>
      <c r="Z54" s="2">
        <v>98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</row>
    <row r="55" spans="1:55" x14ac:dyDescent="0.25">
      <c r="A55" s="2" t="s">
        <v>50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</v>
      </c>
      <c r="V55" s="2">
        <v>0</v>
      </c>
      <c r="W55" s="2">
        <v>0</v>
      </c>
      <c r="X55" s="2">
        <v>6</v>
      </c>
      <c r="Y55" s="2">
        <v>0</v>
      </c>
      <c r="Z55" s="2">
        <v>92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</row>
    <row r="56" spans="1:55" x14ac:dyDescent="0.25">
      <c r="A56" s="2" t="s">
        <v>51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1</v>
      </c>
      <c r="V56" s="2">
        <v>0</v>
      </c>
      <c r="W56" s="2">
        <v>0</v>
      </c>
      <c r="X56" s="2">
        <v>18</v>
      </c>
      <c r="Y56" s="2">
        <v>0</v>
      </c>
      <c r="Z56" s="2">
        <v>76</v>
      </c>
      <c r="AA56" s="2">
        <v>0</v>
      </c>
      <c r="AB56" s="2">
        <v>0</v>
      </c>
      <c r="AC56" s="2">
        <v>0</v>
      </c>
      <c r="AD56" s="2">
        <v>5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</row>
    <row r="57" spans="1:55" x14ac:dyDescent="0.25">
      <c r="A57" s="2" t="s">
        <v>52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3</v>
      </c>
      <c r="T57" s="2">
        <v>0</v>
      </c>
      <c r="U57" s="2">
        <v>0</v>
      </c>
      <c r="V57" s="2">
        <v>0</v>
      </c>
      <c r="W57" s="2">
        <v>0</v>
      </c>
      <c r="X57" s="2">
        <v>2</v>
      </c>
      <c r="Y57" s="2">
        <v>0</v>
      </c>
      <c r="Z57" s="2">
        <v>51</v>
      </c>
      <c r="AA57" s="2">
        <v>0</v>
      </c>
      <c r="AB57" s="2">
        <v>0</v>
      </c>
      <c r="AC57" s="2">
        <v>0</v>
      </c>
      <c r="AD57" s="2">
        <v>36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2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</row>
    <row r="58" spans="1:55" x14ac:dyDescent="0.25">
      <c r="A58" s="2" t="s">
        <v>53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5</v>
      </c>
      <c r="V58" s="2">
        <v>0</v>
      </c>
      <c r="W58" s="2">
        <v>0</v>
      </c>
      <c r="X58" s="2">
        <v>10</v>
      </c>
      <c r="Y58" s="2">
        <v>0</v>
      </c>
      <c r="Z58" s="2">
        <v>82</v>
      </c>
      <c r="AA58" s="2">
        <v>0</v>
      </c>
      <c r="AB58" s="2">
        <v>0</v>
      </c>
      <c r="AC58" s="2">
        <v>0</v>
      </c>
      <c r="AD58" s="2">
        <v>3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</row>
    <row r="59" spans="1:55" x14ac:dyDescent="0.25">
      <c r="A59" s="2" t="s">
        <v>54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23</v>
      </c>
      <c r="V59" s="2">
        <v>0</v>
      </c>
      <c r="W59" s="2">
        <v>0</v>
      </c>
      <c r="X59" s="2">
        <v>0</v>
      </c>
      <c r="Y59" s="2">
        <v>0</v>
      </c>
      <c r="Z59" s="2">
        <v>60</v>
      </c>
      <c r="AA59" s="2">
        <v>0</v>
      </c>
      <c r="AB59" s="2">
        <v>0</v>
      </c>
      <c r="AC59" s="2">
        <v>0</v>
      </c>
      <c r="AD59" s="2">
        <v>17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</row>
    <row r="60" spans="1:55" x14ac:dyDescent="0.25">
      <c r="A60" s="2" t="s">
        <v>55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35</v>
      </c>
      <c r="V60" s="2">
        <v>0</v>
      </c>
      <c r="W60" s="2">
        <v>0</v>
      </c>
      <c r="X60" s="2">
        <v>0</v>
      </c>
      <c r="Y60" s="2">
        <v>0</v>
      </c>
      <c r="Z60" s="2">
        <v>55</v>
      </c>
      <c r="AA60" s="2">
        <v>10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</row>
    <row r="61" spans="1:55" x14ac:dyDescent="0.25">
      <c r="A61" s="2" t="s">
        <v>56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48</v>
      </c>
      <c r="V61" s="2">
        <v>0</v>
      </c>
      <c r="W61" s="2">
        <v>0</v>
      </c>
      <c r="X61" s="2">
        <v>0</v>
      </c>
      <c r="Y61" s="2">
        <v>0</v>
      </c>
      <c r="Z61" s="2">
        <v>34</v>
      </c>
      <c r="AA61" s="2">
        <v>11</v>
      </c>
      <c r="AB61" s="2">
        <v>0</v>
      </c>
      <c r="AC61" s="2">
        <v>7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</row>
    <row r="62" spans="1:55" x14ac:dyDescent="0.25">
      <c r="A62" s="2" t="s">
        <v>57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44</v>
      </c>
      <c r="V62" s="2">
        <v>0</v>
      </c>
      <c r="W62" s="2">
        <v>0</v>
      </c>
      <c r="X62" s="2">
        <v>0</v>
      </c>
      <c r="Y62" s="2">
        <v>17</v>
      </c>
      <c r="Z62" s="2">
        <v>32</v>
      </c>
      <c r="AA62" s="2">
        <v>0</v>
      </c>
      <c r="AB62" s="2">
        <v>0</v>
      </c>
      <c r="AC62" s="2">
        <v>2</v>
      </c>
      <c r="AD62" s="2">
        <v>5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</row>
    <row r="63" spans="1:55" x14ac:dyDescent="0.25">
      <c r="A63" s="2" t="s">
        <v>58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6</v>
      </c>
      <c r="V63" s="2">
        <v>0</v>
      </c>
      <c r="W63" s="2">
        <v>0</v>
      </c>
      <c r="X63" s="2">
        <v>6</v>
      </c>
      <c r="Y63" s="2">
        <v>0</v>
      </c>
      <c r="Z63" s="2">
        <v>60</v>
      </c>
      <c r="AA63" s="2">
        <v>26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2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</row>
    <row r="64" spans="1:55" x14ac:dyDescent="0.25">
      <c r="A64" s="2" t="s">
        <v>59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16</v>
      </c>
      <c r="V64" s="2">
        <v>0</v>
      </c>
      <c r="W64" s="2">
        <v>0</v>
      </c>
      <c r="X64" s="2">
        <v>6</v>
      </c>
      <c r="Y64" s="2">
        <v>10</v>
      </c>
      <c r="Z64" s="2">
        <v>66</v>
      </c>
      <c r="AA64" s="2">
        <v>2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</row>
    <row r="65" spans="1:55" x14ac:dyDescent="0.25">
      <c r="A65" s="2" t="s">
        <v>60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34</v>
      </c>
      <c r="V65" s="2">
        <v>0</v>
      </c>
      <c r="W65" s="2">
        <v>0</v>
      </c>
      <c r="X65" s="2">
        <v>2</v>
      </c>
      <c r="Y65" s="2">
        <v>6</v>
      </c>
      <c r="Z65" s="2">
        <v>58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</row>
    <row r="66" spans="1:55" x14ac:dyDescent="0.25">
      <c r="A66" s="2" t="s">
        <v>61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24</v>
      </c>
      <c r="V66" s="2">
        <v>0</v>
      </c>
      <c r="W66" s="2">
        <v>0</v>
      </c>
      <c r="X66" s="2">
        <v>0</v>
      </c>
      <c r="Y66" s="2">
        <v>16</v>
      </c>
      <c r="Z66" s="2">
        <v>50</v>
      </c>
      <c r="AA66" s="2">
        <v>10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</row>
    <row r="67" spans="1:55" x14ac:dyDescent="0.25">
      <c r="A67" s="2" t="s">
        <v>62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40</v>
      </c>
      <c r="V67" s="2">
        <v>0</v>
      </c>
      <c r="W67" s="2">
        <v>0</v>
      </c>
      <c r="X67" s="2">
        <v>0</v>
      </c>
      <c r="Y67" s="2">
        <v>19</v>
      </c>
      <c r="Z67" s="2">
        <v>41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</row>
    <row r="68" spans="1:55" x14ac:dyDescent="0.25">
      <c r="A68" s="2" t="s">
        <v>63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28</v>
      </c>
      <c r="V68" s="2">
        <v>0</v>
      </c>
      <c r="W68" s="2">
        <v>0</v>
      </c>
      <c r="X68" s="2">
        <v>0</v>
      </c>
      <c r="Y68" s="2">
        <v>0</v>
      </c>
      <c r="Z68" s="2">
        <v>72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</row>
    <row r="69" spans="1:55" x14ac:dyDescent="0.25">
      <c r="A69" s="2" t="s">
        <v>64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24</v>
      </c>
      <c r="V69" s="2">
        <v>0</v>
      </c>
      <c r="W69" s="2">
        <v>0</v>
      </c>
      <c r="X69" s="2">
        <v>0</v>
      </c>
      <c r="Y69" s="2">
        <v>60</v>
      </c>
      <c r="Z69" s="2">
        <v>4</v>
      </c>
      <c r="AA69" s="2">
        <v>0</v>
      </c>
      <c r="AB69" s="2">
        <v>12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</row>
    <row r="70" spans="1:55" x14ac:dyDescent="0.25">
      <c r="A70" s="2" t="s">
        <v>65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15</v>
      </c>
      <c r="V70" s="2">
        <v>2</v>
      </c>
      <c r="W70" s="2">
        <v>0</v>
      </c>
      <c r="X70" s="2">
        <v>0</v>
      </c>
      <c r="Y70" s="2">
        <v>42</v>
      </c>
      <c r="Z70" s="2">
        <v>23</v>
      </c>
      <c r="AA70" s="2">
        <v>17</v>
      </c>
      <c r="AB70" s="2">
        <v>0</v>
      </c>
      <c r="AC70" s="2">
        <v>1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</row>
    <row r="71" spans="1:55" x14ac:dyDescent="0.25">
      <c r="A71" s="2" t="s">
        <v>66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15</v>
      </c>
      <c r="V71" s="2">
        <v>0</v>
      </c>
      <c r="W71" s="2">
        <v>0</v>
      </c>
      <c r="X71" s="2">
        <v>0</v>
      </c>
      <c r="Y71" s="2">
        <v>63</v>
      </c>
      <c r="Z71" s="2">
        <v>12</v>
      </c>
      <c r="AA71" s="2">
        <v>10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</row>
    <row r="72" spans="1:55" x14ac:dyDescent="0.25">
      <c r="A72" s="2" t="s">
        <v>67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30</v>
      </c>
      <c r="V72" s="2">
        <v>0</v>
      </c>
      <c r="W72" s="2">
        <v>0</v>
      </c>
      <c r="X72" s="2">
        <v>0</v>
      </c>
      <c r="Y72" s="2">
        <v>66</v>
      </c>
      <c r="Z72" s="2">
        <v>4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</row>
    <row r="73" spans="1:55" x14ac:dyDescent="0.25">
      <c r="A73" s="2" t="s">
        <v>68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12</v>
      </c>
      <c r="V73" s="2">
        <v>0</v>
      </c>
      <c r="W73" s="2">
        <v>0</v>
      </c>
      <c r="X73" s="2">
        <v>2</v>
      </c>
      <c r="Y73" s="2">
        <v>0</v>
      </c>
      <c r="Z73" s="2">
        <v>28</v>
      </c>
      <c r="AA73" s="2">
        <v>52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6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</row>
    <row r="74" spans="1:55" x14ac:dyDescent="0.25">
      <c r="A74" s="2" t="s">
        <v>69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5</v>
      </c>
      <c r="V74" s="2">
        <v>0</v>
      </c>
      <c r="W74" s="2">
        <v>0</v>
      </c>
      <c r="X74" s="2">
        <v>2</v>
      </c>
      <c r="Y74" s="2">
        <v>0</v>
      </c>
      <c r="Z74" s="2">
        <v>18</v>
      </c>
      <c r="AA74" s="2">
        <v>75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</row>
    <row r="75" spans="1:55" x14ac:dyDescent="0.25">
      <c r="A75" s="2" t="s">
        <v>70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8</v>
      </c>
      <c r="V75" s="2">
        <v>0</v>
      </c>
      <c r="W75" s="2">
        <v>0</v>
      </c>
      <c r="X75" s="2">
        <v>1</v>
      </c>
      <c r="Y75" s="2">
        <v>0</v>
      </c>
      <c r="Z75" s="2">
        <v>40</v>
      </c>
      <c r="AA75" s="2">
        <v>37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2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12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</row>
    <row r="76" spans="1:55" x14ac:dyDescent="0.25">
      <c r="A76" s="2" t="s">
        <v>71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8</v>
      </c>
      <c r="V76" s="2">
        <v>0</v>
      </c>
      <c r="W76" s="2">
        <v>0</v>
      </c>
      <c r="X76" s="2">
        <v>7</v>
      </c>
      <c r="Y76" s="2">
        <v>68</v>
      </c>
      <c r="Z76" s="2">
        <v>15</v>
      </c>
      <c r="AA76" s="2">
        <v>2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</row>
    <row r="77" spans="1:55" x14ac:dyDescent="0.25">
      <c r="A77" s="2" t="s">
        <v>72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9</v>
      </c>
      <c r="V77" s="2">
        <v>0</v>
      </c>
      <c r="W77" s="2">
        <v>0</v>
      </c>
      <c r="X77" s="2">
        <v>4</v>
      </c>
      <c r="Y77" s="2">
        <v>14</v>
      </c>
      <c r="Z77" s="2">
        <v>69</v>
      </c>
      <c r="AA77" s="2">
        <v>4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</row>
    <row r="78" spans="1:55" x14ac:dyDescent="0.25">
      <c r="A78" s="2" t="s">
        <v>73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</v>
      </c>
      <c r="V78" s="2">
        <v>0</v>
      </c>
      <c r="W78" s="2">
        <v>0</v>
      </c>
      <c r="X78" s="2">
        <v>0</v>
      </c>
      <c r="Y78" s="2">
        <v>1</v>
      </c>
      <c r="Z78" s="2">
        <v>70</v>
      </c>
      <c r="AA78" s="2">
        <v>18</v>
      </c>
      <c r="AB78" s="2">
        <v>5</v>
      </c>
      <c r="AC78" s="2">
        <v>0</v>
      </c>
      <c r="AD78" s="2">
        <v>1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1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</row>
    <row r="79" spans="1:55" x14ac:dyDescent="0.25">
      <c r="A79" s="2" t="s">
        <v>74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40</v>
      </c>
      <c r="V79" s="2">
        <v>0</v>
      </c>
      <c r="W79" s="2">
        <v>0</v>
      </c>
      <c r="X79" s="2">
        <v>5</v>
      </c>
      <c r="Y79" s="2">
        <v>0</v>
      </c>
      <c r="Z79" s="2">
        <v>53</v>
      </c>
      <c r="AA79" s="2">
        <v>2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</row>
    <row r="80" spans="1:55" x14ac:dyDescent="0.25">
      <c r="A80" s="2" t="s">
        <v>75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29</v>
      </c>
      <c r="V80" s="2">
        <v>0</v>
      </c>
      <c r="W80" s="2">
        <v>0</v>
      </c>
      <c r="X80" s="2">
        <v>0</v>
      </c>
      <c r="Y80" s="2">
        <v>3</v>
      </c>
      <c r="Z80" s="2">
        <v>58</v>
      </c>
      <c r="AA80" s="2">
        <v>9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1</v>
      </c>
    </row>
    <row r="81" spans="1:55" x14ac:dyDescent="0.25">
      <c r="A81" s="2" t="s">
        <v>76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13</v>
      </c>
      <c r="V81" s="2">
        <v>0</v>
      </c>
      <c r="W81" s="2">
        <v>0</v>
      </c>
      <c r="X81" s="2">
        <v>1</v>
      </c>
      <c r="Y81" s="2">
        <v>0</v>
      </c>
      <c r="Z81" s="2">
        <v>86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</row>
    <row r="82" spans="1:55" x14ac:dyDescent="0.25">
      <c r="A82" s="2" t="s">
        <v>77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7</v>
      </c>
      <c r="V82" s="2">
        <v>0</v>
      </c>
      <c r="W82" s="2">
        <v>0</v>
      </c>
      <c r="X82" s="2">
        <v>3</v>
      </c>
      <c r="Y82" s="2">
        <v>0</v>
      </c>
      <c r="Z82" s="2">
        <v>90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</row>
    <row r="83" spans="1:55" x14ac:dyDescent="0.25">
      <c r="A83" s="2" t="s">
        <v>78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10</v>
      </c>
      <c r="V83" s="2">
        <v>0</v>
      </c>
      <c r="W83" s="2">
        <v>0</v>
      </c>
      <c r="X83" s="2">
        <v>2</v>
      </c>
      <c r="Y83" s="2">
        <v>0</v>
      </c>
      <c r="Z83" s="2">
        <v>78</v>
      </c>
      <c r="AA83" s="2">
        <v>10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</row>
    <row r="84" spans="1:55" x14ac:dyDescent="0.25">
      <c r="A84" s="2" t="s">
        <v>79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14</v>
      </c>
      <c r="V84" s="2">
        <v>0</v>
      </c>
      <c r="W84" s="2">
        <v>0</v>
      </c>
      <c r="X84" s="2">
        <v>8</v>
      </c>
      <c r="Y84" s="2">
        <v>51</v>
      </c>
      <c r="Z84" s="2">
        <v>27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</row>
    <row r="85" spans="1:55" x14ac:dyDescent="0.25">
      <c r="A85" s="2" t="s">
        <v>80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33</v>
      </c>
      <c r="V85" s="2">
        <v>0</v>
      </c>
      <c r="W85" s="2">
        <v>0</v>
      </c>
      <c r="X85" s="2">
        <v>8</v>
      </c>
      <c r="Y85" s="2">
        <v>16</v>
      </c>
      <c r="Z85" s="2">
        <v>41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</row>
    <row r="86" spans="1:55" x14ac:dyDescent="0.25">
      <c r="A86" s="2" t="s">
        <v>81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0</v>
      </c>
      <c r="W86" s="2">
        <v>0</v>
      </c>
      <c r="X86" s="2">
        <v>7</v>
      </c>
      <c r="Y86" s="2">
        <v>0</v>
      </c>
      <c r="Z86" s="2">
        <v>44</v>
      </c>
      <c r="AA86" s="2">
        <v>35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2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1</v>
      </c>
      <c r="AO86" s="2">
        <v>0</v>
      </c>
      <c r="AP86" s="2">
        <v>2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</row>
    <row r="87" spans="1:55" x14ac:dyDescent="0.25">
      <c r="A87" s="2" t="s">
        <v>82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30</v>
      </c>
      <c r="V87" s="2">
        <v>0</v>
      </c>
      <c r="W87" s="2">
        <v>0</v>
      </c>
      <c r="X87" s="2">
        <v>8</v>
      </c>
      <c r="Y87" s="2">
        <v>0</v>
      </c>
      <c r="Z87" s="2">
        <v>59</v>
      </c>
      <c r="AA87" s="2">
        <v>3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</row>
    <row r="88" spans="1:55" x14ac:dyDescent="0.25">
      <c r="A88" s="2" t="s">
        <v>83</v>
      </c>
      <c r="B88" s="2">
        <v>1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52</v>
      </c>
      <c r="V88" s="2">
        <v>0</v>
      </c>
      <c r="W88" s="2">
        <v>0</v>
      </c>
      <c r="X88" s="2">
        <v>2</v>
      </c>
      <c r="Y88" s="2">
        <v>0</v>
      </c>
      <c r="Z88" s="2">
        <v>40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6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</row>
    <row r="89" spans="1:55" x14ac:dyDescent="0.25">
      <c r="A89" s="2" t="s">
        <v>84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19</v>
      </c>
      <c r="V89" s="2">
        <v>0</v>
      </c>
      <c r="W89" s="2">
        <v>0</v>
      </c>
      <c r="X89" s="2">
        <v>6</v>
      </c>
      <c r="Y89" s="2">
        <v>0</v>
      </c>
      <c r="Z89" s="2">
        <v>55</v>
      </c>
      <c r="AA89" s="2">
        <v>20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</row>
    <row r="90" spans="1:55" x14ac:dyDescent="0.25">
      <c r="A90" s="2" t="s">
        <v>85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</v>
      </c>
      <c r="V90" s="2">
        <v>0</v>
      </c>
      <c r="W90" s="2">
        <v>0</v>
      </c>
      <c r="X90" s="2">
        <v>10</v>
      </c>
      <c r="Y90" s="2">
        <v>47</v>
      </c>
      <c r="Z90" s="2">
        <v>20</v>
      </c>
      <c r="AA90" s="2">
        <v>19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</row>
    <row r="91" spans="1:55" x14ac:dyDescent="0.25">
      <c r="A91" s="2" t="s">
        <v>86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7</v>
      </c>
      <c r="V91" s="2">
        <v>0</v>
      </c>
      <c r="W91" s="2">
        <v>0</v>
      </c>
      <c r="X91" s="2">
        <v>0</v>
      </c>
      <c r="Y91" s="2">
        <v>0</v>
      </c>
      <c r="Z91" s="2">
        <v>68</v>
      </c>
      <c r="AA91" s="2">
        <v>0</v>
      </c>
      <c r="AB91" s="2">
        <v>0</v>
      </c>
      <c r="AC91" s="2">
        <v>25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</row>
    <row r="92" spans="1:55" x14ac:dyDescent="0.25">
      <c r="A92" s="2" t="s">
        <v>87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0</v>
      </c>
      <c r="W92" s="2">
        <v>0</v>
      </c>
      <c r="X92" s="2">
        <v>3</v>
      </c>
      <c r="Y92" s="2">
        <v>0</v>
      </c>
      <c r="Z92" s="2">
        <v>26</v>
      </c>
      <c r="AA92" s="2">
        <v>41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</row>
    <row r="93" spans="1:55" x14ac:dyDescent="0.25">
      <c r="A93" s="2" t="s">
        <v>88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67</v>
      </c>
      <c r="V93" s="2">
        <v>0</v>
      </c>
      <c r="W93" s="2">
        <v>0</v>
      </c>
      <c r="X93" s="2">
        <v>2</v>
      </c>
      <c r="Y93" s="2">
        <v>0</v>
      </c>
      <c r="Z93" s="2">
        <v>22</v>
      </c>
      <c r="AA93" s="2">
        <v>7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2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</row>
    <row r="94" spans="1:55" x14ac:dyDescent="0.25">
      <c r="A94" s="2" t="s">
        <v>89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29</v>
      </c>
      <c r="V94" s="2">
        <v>0</v>
      </c>
      <c r="W94" s="2">
        <v>0</v>
      </c>
      <c r="X94" s="2">
        <v>8</v>
      </c>
      <c r="Y94" s="2">
        <v>0</v>
      </c>
      <c r="Z94" s="2">
        <v>34</v>
      </c>
      <c r="AA94" s="2">
        <v>37</v>
      </c>
      <c r="AB94" s="2">
        <v>0</v>
      </c>
      <c r="AC94" s="2">
        <v>0</v>
      </c>
      <c r="AD94" s="2">
        <v>2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</row>
    <row r="95" spans="1:55" x14ac:dyDescent="0.25">
      <c r="A95" s="2" t="s">
        <v>90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15</v>
      </c>
      <c r="V95" s="2">
        <v>0</v>
      </c>
      <c r="W95" s="2">
        <v>0</v>
      </c>
      <c r="X95" s="2">
        <v>9</v>
      </c>
      <c r="Y95" s="2">
        <v>0</v>
      </c>
      <c r="Z95" s="2">
        <v>58</v>
      </c>
      <c r="AA95" s="2">
        <v>18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</row>
    <row r="96" spans="1:55" x14ac:dyDescent="0.25">
      <c r="A96" s="2" t="s">
        <v>91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19</v>
      </c>
      <c r="V96" s="2">
        <v>0</v>
      </c>
      <c r="W96" s="2">
        <v>0</v>
      </c>
      <c r="X96" s="2">
        <v>1</v>
      </c>
      <c r="Y96" s="2">
        <v>0</v>
      </c>
      <c r="Z96" s="2">
        <v>74</v>
      </c>
      <c r="AA96" s="2">
        <v>6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</row>
    <row r="97" spans="1:55" x14ac:dyDescent="0.25">
      <c r="A97" s="2" t="s">
        <v>92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37</v>
      </c>
      <c r="V97" s="2">
        <v>0</v>
      </c>
      <c r="W97" s="2">
        <v>0</v>
      </c>
      <c r="X97" s="2">
        <v>8</v>
      </c>
      <c r="Y97" s="2">
        <v>1</v>
      </c>
      <c r="Z97" s="2">
        <v>36</v>
      </c>
      <c r="AA97" s="2">
        <v>17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1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</row>
    <row r="98" spans="1:55" x14ac:dyDescent="0.25">
      <c r="A98" s="2" t="s">
        <v>93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28</v>
      </c>
      <c r="V98" s="2">
        <v>0</v>
      </c>
      <c r="W98" s="2">
        <v>0</v>
      </c>
      <c r="X98" s="2">
        <v>5</v>
      </c>
      <c r="Y98" s="2">
        <v>0</v>
      </c>
      <c r="Z98" s="2">
        <v>59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8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</row>
    <row r="99" spans="1:55" x14ac:dyDescent="0.25">
      <c r="A99" s="2" t="s">
        <v>94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</v>
      </c>
      <c r="V99" s="2">
        <v>0</v>
      </c>
      <c r="W99" s="2">
        <v>0</v>
      </c>
      <c r="X99" s="2">
        <v>2</v>
      </c>
      <c r="Y99" s="2">
        <v>4</v>
      </c>
      <c r="Z99" s="2">
        <v>45</v>
      </c>
      <c r="AA99" s="2">
        <v>24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</row>
    <row r="100" spans="1:55" x14ac:dyDescent="0.25">
      <c r="A100" s="2" t="s">
        <v>95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39</v>
      </c>
      <c r="V100" s="2">
        <v>2</v>
      </c>
      <c r="W100" s="2">
        <v>0</v>
      </c>
      <c r="X100" s="2">
        <v>9</v>
      </c>
      <c r="Y100" s="2">
        <v>1</v>
      </c>
      <c r="Z100" s="2">
        <v>42</v>
      </c>
      <c r="AA100" s="2">
        <v>3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4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</row>
    <row r="101" spans="1:55" x14ac:dyDescent="0.25">
      <c r="A101" s="2" t="s">
        <v>96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41</v>
      </c>
      <c r="V101" s="2">
        <v>0</v>
      </c>
      <c r="W101" s="2">
        <v>0</v>
      </c>
      <c r="X101" s="2">
        <v>9</v>
      </c>
      <c r="Y101" s="2">
        <v>32</v>
      </c>
      <c r="Z101" s="2">
        <v>9</v>
      </c>
      <c r="AA101" s="2">
        <v>9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</row>
    <row r="102" spans="1:55" x14ac:dyDescent="0.25">
      <c r="A102" s="2" t="s">
        <v>97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58</v>
      </c>
      <c r="V102" s="2">
        <v>0</v>
      </c>
      <c r="W102" s="2">
        <v>0</v>
      </c>
      <c r="X102" s="2">
        <v>0</v>
      </c>
      <c r="Y102" s="2">
        <v>0</v>
      </c>
      <c r="Z102" s="2">
        <v>39</v>
      </c>
      <c r="AA102" s="2">
        <v>3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</row>
    <row r="103" spans="1:55" x14ac:dyDescent="0.25">
      <c r="A103" s="2" t="s">
        <v>98</v>
      </c>
      <c r="B103" s="2">
        <v>0</v>
      </c>
      <c r="C103" s="2">
        <v>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14</v>
      </c>
      <c r="V103" s="2">
        <v>0</v>
      </c>
      <c r="W103" s="2">
        <v>0</v>
      </c>
      <c r="X103" s="2">
        <v>0</v>
      </c>
      <c r="Y103" s="2">
        <v>0</v>
      </c>
      <c r="Z103" s="2">
        <v>73</v>
      </c>
      <c r="AA103" s="2">
        <v>0</v>
      </c>
      <c r="AB103" s="2">
        <v>0</v>
      </c>
      <c r="AC103" s="2">
        <v>0</v>
      </c>
      <c r="AD103" s="2">
        <v>3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</row>
    <row r="104" spans="1:55" x14ac:dyDescent="0.25">
      <c r="A104" s="2" t="s">
        <v>99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90</v>
      </c>
      <c r="V104" s="2">
        <v>0</v>
      </c>
      <c r="W104" s="2">
        <v>0</v>
      </c>
      <c r="X104" s="2">
        <v>0</v>
      </c>
      <c r="Y104" s="2">
        <v>0</v>
      </c>
      <c r="Z104" s="2">
        <v>10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</row>
    <row r="105" spans="1:55" x14ac:dyDescent="0.25">
      <c r="A105" s="2" t="s">
        <v>100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20</v>
      </c>
      <c r="V105" s="2">
        <v>0</v>
      </c>
      <c r="W105" s="2">
        <v>0</v>
      </c>
      <c r="X105" s="2">
        <v>0</v>
      </c>
      <c r="Y105" s="2">
        <v>0</v>
      </c>
      <c r="Z105" s="2">
        <v>55</v>
      </c>
      <c r="AA105" s="2">
        <v>25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</row>
    <row r="106" spans="1:55" x14ac:dyDescent="0.25">
      <c r="A106" s="2" t="s">
        <v>101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7</v>
      </c>
      <c r="V106" s="2">
        <v>0</v>
      </c>
      <c r="W106" s="2">
        <v>0</v>
      </c>
      <c r="X106" s="2">
        <v>13</v>
      </c>
      <c r="Y106" s="2">
        <v>15</v>
      </c>
      <c r="Z106" s="2">
        <v>65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</row>
    <row r="107" spans="1:55" x14ac:dyDescent="0.25">
      <c r="A107" s="2" t="s">
        <v>102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16</v>
      </c>
      <c r="V107" s="2">
        <v>0</v>
      </c>
      <c r="W107" s="2">
        <v>0</v>
      </c>
      <c r="X107" s="2">
        <v>0</v>
      </c>
      <c r="Y107" s="2">
        <v>0</v>
      </c>
      <c r="Z107" s="2">
        <v>68</v>
      </c>
      <c r="AA107" s="2">
        <v>16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</row>
    <row r="108" spans="1:55" x14ac:dyDescent="0.25">
      <c r="A108" s="2" t="s">
        <v>103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15</v>
      </c>
      <c r="V108" s="2">
        <v>0</v>
      </c>
      <c r="W108" s="2">
        <v>0</v>
      </c>
      <c r="X108" s="2">
        <v>3</v>
      </c>
      <c r="Y108" s="2">
        <v>0</v>
      </c>
      <c r="Z108" s="2">
        <v>72</v>
      </c>
      <c r="AA108" s="2">
        <v>10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</row>
    <row r="109" spans="1:55" x14ac:dyDescent="0.25">
      <c r="A109" s="2" t="s">
        <v>104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14</v>
      </c>
      <c r="V109" s="2">
        <v>0</v>
      </c>
      <c r="W109" s="2">
        <v>0</v>
      </c>
      <c r="X109" s="2">
        <v>9</v>
      </c>
      <c r="Y109" s="2">
        <v>33</v>
      </c>
      <c r="Z109" s="2">
        <v>36</v>
      </c>
      <c r="AA109" s="2">
        <v>8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</row>
    <row r="110" spans="1:55" x14ac:dyDescent="0.25">
      <c r="A110" s="2" t="s">
        <v>105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11</v>
      </c>
      <c r="V110" s="2">
        <v>0</v>
      </c>
      <c r="W110" s="2">
        <v>0</v>
      </c>
      <c r="X110" s="2">
        <v>4</v>
      </c>
      <c r="Y110" s="2">
        <v>6</v>
      </c>
      <c r="Z110" s="2">
        <v>79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</row>
    <row r="111" spans="1:55" x14ac:dyDescent="0.25">
      <c r="A111" s="2" t="s">
        <v>106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19</v>
      </c>
      <c r="V111" s="2">
        <v>0</v>
      </c>
      <c r="W111" s="2">
        <v>0</v>
      </c>
      <c r="X111" s="2">
        <v>7</v>
      </c>
      <c r="Y111" s="2">
        <v>0</v>
      </c>
      <c r="Z111" s="2">
        <v>74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</row>
    <row r="112" spans="1:55" x14ac:dyDescent="0.25">
      <c r="A112" s="2" t="s">
        <v>107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53</v>
      </c>
      <c r="V112" s="2">
        <v>0</v>
      </c>
      <c r="W112" s="2">
        <v>0</v>
      </c>
      <c r="X112" s="2">
        <v>0</v>
      </c>
      <c r="Y112" s="2">
        <v>0</v>
      </c>
      <c r="Z112" s="2">
        <v>47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</row>
    <row r="113" spans="1:55" x14ac:dyDescent="0.25">
      <c r="A113" s="2" t="s">
        <v>108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58</v>
      </c>
      <c r="V113" s="2">
        <v>0</v>
      </c>
      <c r="W113" s="2">
        <v>0</v>
      </c>
      <c r="X113" s="2">
        <v>0</v>
      </c>
      <c r="Y113" s="2">
        <v>0</v>
      </c>
      <c r="Z113" s="2">
        <v>37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</row>
    <row r="114" spans="1:55" x14ac:dyDescent="0.25">
      <c r="A114" s="2" t="s">
        <v>109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53</v>
      </c>
      <c r="V114" s="2">
        <v>0</v>
      </c>
      <c r="W114" s="2">
        <v>0</v>
      </c>
      <c r="X114" s="2">
        <v>0</v>
      </c>
      <c r="Y114" s="2">
        <v>0</v>
      </c>
      <c r="Z114" s="2">
        <v>43</v>
      </c>
      <c r="AA114" s="2">
        <v>4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</row>
    <row r="115" spans="1:55" x14ac:dyDescent="0.25">
      <c r="A115" s="2" t="s">
        <v>110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8</v>
      </c>
      <c r="V115" s="2">
        <v>0</v>
      </c>
      <c r="W115" s="2">
        <v>0</v>
      </c>
      <c r="X115" s="2">
        <v>0</v>
      </c>
      <c r="Y115" s="2">
        <v>0</v>
      </c>
      <c r="Z115" s="2">
        <v>83</v>
      </c>
      <c r="AA115" s="2">
        <v>3</v>
      </c>
      <c r="AB115" s="2">
        <v>0</v>
      </c>
      <c r="AC115" s="2">
        <v>6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</row>
    <row r="116" spans="1:55" x14ac:dyDescent="0.25">
      <c r="A116" s="2" t="s">
        <v>111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48</v>
      </c>
      <c r="V116" s="2">
        <v>0</v>
      </c>
      <c r="W116" s="2">
        <v>0</v>
      </c>
      <c r="X116" s="2">
        <v>0</v>
      </c>
      <c r="Y116" s="2">
        <v>0</v>
      </c>
      <c r="Z116" s="2">
        <v>52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</row>
    <row r="117" spans="1:55" x14ac:dyDescent="0.25">
      <c r="A117" s="2" t="s">
        <v>112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41</v>
      </c>
      <c r="V117" s="2">
        <v>0</v>
      </c>
      <c r="W117" s="2">
        <v>0</v>
      </c>
      <c r="X117" s="2">
        <v>0</v>
      </c>
      <c r="Y117" s="2">
        <v>0</v>
      </c>
      <c r="Z117" s="2">
        <v>49</v>
      </c>
      <c r="AA117" s="2">
        <v>10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</row>
    <row r="118" spans="1:55" x14ac:dyDescent="0.25">
      <c r="A118" s="2" t="s">
        <v>113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13</v>
      </c>
      <c r="V118" s="2">
        <v>0</v>
      </c>
      <c r="W118" s="2">
        <v>0</v>
      </c>
      <c r="X118" s="2">
        <v>0</v>
      </c>
      <c r="Y118" s="2">
        <v>1</v>
      </c>
      <c r="Z118" s="2">
        <v>72</v>
      </c>
      <c r="AA118" s="2">
        <v>14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</row>
    <row r="119" spans="1:55" x14ac:dyDescent="0.25">
      <c r="A119" s="2" t="s">
        <v>114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8</v>
      </c>
      <c r="V119" s="2">
        <v>0</v>
      </c>
      <c r="W119" s="2">
        <v>0</v>
      </c>
      <c r="X119" s="2">
        <v>15</v>
      </c>
      <c r="Y119" s="2">
        <v>0</v>
      </c>
      <c r="Z119" s="2">
        <v>75</v>
      </c>
      <c r="AA119" s="2">
        <v>2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</row>
    <row r="120" spans="1:55" x14ac:dyDescent="0.25">
      <c r="A120" s="2" t="s">
        <v>115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7</v>
      </c>
      <c r="V120" s="2">
        <v>0</v>
      </c>
      <c r="W120" s="2">
        <v>0</v>
      </c>
      <c r="X120" s="2">
        <v>0</v>
      </c>
      <c r="Y120" s="2">
        <v>0</v>
      </c>
      <c r="Z120" s="2">
        <v>51</v>
      </c>
      <c r="AA120" s="2">
        <v>42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</row>
    <row r="121" spans="1:55" x14ac:dyDescent="0.25">
      <c r="A121" s="2" t="s">
        <v>116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24</v>
      </c>
      <c r="W121" s="2">
        <v>0</v>
      </c>
      <c r="X121" s="2">
        <v>8</v>
      </c>
      <c r="Y121" s="2">
        <v>4</v>
      </c>
      <c r="Z121" s="2">
        <v>27</v>
      </c>
      <c r="AA121" s="2">
        <v>3</v>
      </c>
      <c r="AB121" s="2">
        <v>0</v>
      </c>
      <c r="AC121" s="2">
        <v>0</v>
      </c>
      <c r="AD121" s="2">
        <v>0</v>
      </c>
      <c r="AE121" s="2">
        <v>0</v>
      </c>
      <c r="AF121" s="2">
        <v>3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30</v>
      </c>
      <c r="AO121" s="2">
        <v>0</v>
      </c>
      <c r="AP121" s="2">
        <v>0</v>
      </c>
      <c r="AQ121" s="2">
        <v>0</v>
      </c>
      <c r="AR121" s="2">
        <v>0</v>
      </c>
      <c r="AS121" s="2">
        <v>1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</row>
    <row r="122" spans="1:55" x14ac:dyDescent="0.25">
      <c r="A122" s="2" t="s">
        <v>118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4</v>
      </c>
      <c r="V122" s="2">
        <v>90</v>
      </c>
      <c r="W122" s="2">
        <v>0</v>
      </c>
      <c r="X122" s="2">
        <v>0</v>
      </c>
      <c r="Y122" s="2">
        <v>0</v>
      </c>
      <c r="Z122" s="2">
        <v>6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</row>
    <row r="123" spans="1:55" x14ac:dyDescent="0.25">
      <c r="A123" s="2" t="s">
        <v>119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7</v>
      </c>
      <c r="V123" s="2">
        <v>0</v>
      </c>
      <c r="W123" s="2">
        <v>0</v>
      </c>
      <c r="X123" s="2">
        <v>6</v>
      </c>
      <c r="Y123" s="2">
        <v>13</v>
      </c>
      <c r="Z123" s="2">
        <v>74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</row>
    <row r="124" spans="1:55" x14ac:dyDescent="0.25">
      <c r="A124" s="2" t="s">
        <v>120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8</v>
      </c>
      <c r="V124" s="2">
        <v>32</v>
      </c>
      <c r="W124" s="2">
        <v>0</v>
      </c>
      <c r="X124" s="2">
        <v>10</v>
      </c>
      <c r="Y124" s="2">
        <v>13</v>
      </c>
      <c r="Z124" s="2">
        <v>30</v>
      </c>
      <c r="AA124" s="2">
        <v>0</v>
      </c>
      <c r="AB124" s="2">
        <v>0</v>
      </c>
      <c r="AC124" s="2">
        <v>0</v>
      </c>
      <c r="AD124" s="2">
        <v>4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1</v>
      </c>
      <c r="AO124" s="2">
        <v>0</v>
      </c>
      <c r="AP124" s="2">
        <v>0</v>
      </c>
      <c r="AQ124" s="2">
        <v>0</v>
      </c>
      <c r="AR124" s="2">
        <v>0</v>
      </c>
      <c r="AS124" s="2">
        <v>1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</row>
    <row r="125" spans="1:55" x14ac:dyDescent="0.25">
      <c r="A125" s="2" t="s">
        <v>121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34</v>
      </c>
      <c r="V125" s="2">
        <v>0</v>
      </c>
      <c r="W125" s="2">
        <v>0</v>
      </c>
      <c r="X125" s="2">
        <v>6</v>
      </c>
      <c r="Y125" s="2">
        <v>30</v>
      </c>
      <c r="Z125" s="2">
        <v>30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</row>
    <row r="126" spans="1:55" x14ac:dyDescent="0.25">
      <c r="A126" s="2" t="s">
        <v>122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19</v>
      </c>
      <c r="V126" s="2">
        <v>0</v>
      </c>
      <c r="W126" s="2">
        <v>0</v>
      </c>
      <c r="X126" s="2">
        <v>1</v>
      </c>
      <c r="Y126" s="2">
        <v>78</v>
      </c>
      <c r="Z126" s="2">
        <v>2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</row>
    <row r="127" spans="1:55" x14ac:dyDescent="0.25">
      <c r="A127" s="2" t="s">
        <v>123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18</v>
      </c>
      <c r="V127" s="2">
        <v>68</v>
      </c>
      <c r="W127" s="2">
        <v>0</v>
      </c>
      <c r="X127" s="2">
        <v>0</v>
      </c>
      <c r="Y127" s="2">
        <v>6</v>
      </c>
      <c r="Z127" s="2">
        <v>3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</row>
    <row r="128" spans="1:55" x14ac:dyDescent="0.25">
      <c r="A128" s="2" t="s">
        <v>124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13</v>
      </c>
      <c r="V128" s="2">
        <v>10</v>
      </c>
      <c r="W128" s="2">
        <v>0</v>
      </c>
      <c r="X128" s="2">
        <v>0</v>
      </c>
      <c r="Y128" s="2">
        <v>75</v>
      </c>
      <c r="Z128" s="2">
        <v>2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</row>
    <row r="129" spans="1:55" x14ac:dyDescent="0.25">
      <c r="A129" s="2" t="s">
        <v>125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1</v>
      </c>
      <c r="U129" s="2">
        <v>52</v>
      </c>
      <c r="V129" s="2">
        <v>0</v>
      </c>
      <c r="W129" s="2">
        <v>0</v>
      </c>
      <c r="X129" s="2">
        <v>0</v>
      </c>
      <c r="Y129" s="2">
        <v>0</v>
      </c>
      <c r="Z129" s="2">
        <v>47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</row>
    <row r="130" spans="1:55" x14ac:dyDescent="0.25">
      <c r="A130" s="2" t="s">
        <v>126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63</v>
      </c>
      <c r="V130" s="2">
        <v>0</v>
      </c>
      <c r="W130" s="2">
        <v>0</v>
      </c>
      <c r="X130" s="2">
        <v>2</v>
      </c>
      <c r="Y130" s="2">
        <v>30</v>
      </c>
      <c r="Z130" s="2">
        <v>5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</row>
    <row r="131" spans="1:55" x14ac:dyDescent="0.25">
      <c r="A131" s="2" t="s">
        <v>127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26</v>
      </c>
      <c r="V131" s="2">
        <v>0</v>
      </c>
      <c r="W131" s="2">
        <v>0</v>
      </c>
      <c r="X131" s="2">
        <v>3</v>
      </c>
      <c r="Y131" s="2">
        <v>24</v>
      </c>
      <c r="Z131" s="2">
        <v>47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</row>
    <row r="132" spans="1:55" x14ac:dyDescent="0.25">
      <c r="A132" s="2" t="s">
        <v>128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19</v>
      </c>
      <c r="V132" s="2">
        <v>0</v>
      </c>
      <c r="W132" s="2">
        <v>0</v>
      </c>
      <c r="X132" s="2">
        <v>11</v>
      </c>
      <c r="Y132" s="2">
        <v>1</v>
      </c>
      <c r="Z132" s="2">
        <v>64</v>
      </c>
      <c r="AA132" s="2">
        <v>5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</row>
    <row r="133" spans="1:55" x14ac:dyDescent="0.25">
      <c r="A133" s="2" t="s">
        <v>129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34</v>
      </c>
      <c r="V133" s="2">
        <v>0</v>
      </c>
      <c r="W133" s="2">
        <v>0</v>
      </c>
      <c r="X133" s="2">
        <v>4</v>
      </c>
      <c r="Y133" s="2">
        <v>0</v>
      </c>
      <c r="Z133" s="2">
        <v>62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</row>
    <row r="134" spans="1:55" x14ac:dyDescent="0.25">
      <c r="A134" s="2" t="s">
        <v>130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45</v>
      </c>
      <c r="V134" s="2">
        <v>0</v>
      </c>
      <c r="W134" s="2">
        <v>0</v>
      </c>
      <c r="X134" s="2">
        <v>3</v>
      </c>
      <c r="Y134" s="2">
        <v>0</v>
      </c>
      <c r="Z134" s="2">
        <v>52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</row>
    <row r="135" spans="1:55" x14ac:dyDescent="0.25">
      <c r="A135" s="2" t="s">
        <v>131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25</v>
      </c>
      <c r="V135" s="2">
        <v>0</v>
      </c>
      <c r="W135" s="2">
        <v>0</v>
      </c>
      <c r="X135" s="2">
        <v>4</v>
      </c>
      <c r="Y135" s="2">
        <v>0</v>
      </c>
      <c r="Z135" s="2">
        <v>47</v>
      </c>
      <c r="AA135" s="2">
        <v>24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</row>
    <row r="136" spans="1:55" x14ac:dyDescent="0.25">
      <c r="A136" s="2" t="s">
        <v>132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57</v>
      </c>
      <c r="V136" s="2">
        <v>0</v>
      </c>
      <c r="W136" s="2">
        <v>0</v>
      </c>
      <c r="X136" s="2">
        <v>0</v>
      </c>
      <c r="Y136" s="2">
        <v>0</v>
      </c>
      <c r="Z136" s="2">
        <v>39</v>
      </c>
      <c r="AA136" s="2">
        <v>4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</row>
    <row r="137" spans="1:55" x14ac:dyDescent="0.25">
      <c r="A137" s="2" t="s">
        <v>133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35</v>
      </c>
      <c r="V137" s="2">
        <v>0</v>
      </c>
      <c r="W137" s="2">
        <v>0</v>
      </c>
      <c r="X137" s="2">
        <v>10</v>
      </c>
      <c r="Y137" s="2">
        <v>16</v>
      </c>
      <c r="Z137" s="2">
        <v>18</v>
      </c>
      <c r="AA137" s="2">
        <v>21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</row>
    <row r="138" spans="1:55" x14ac:dyDescent="0.25">
      <c r="A138" s="2" t="s">
        <v>134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77</v>
      </c>
      <c r="V138" s="2">
        <v>0</v>
      </c>
      <c r="W138" s="2">
        <v>0</v>
      </c>
      <c r="X138" s="2">
        <v>4</v>
      </c>
      <c r="Y138" s="2">
        <v>0</v>
      </c>
      <c r="Z138" s="2">
        <v>17</v>
      </c>
      <c r="AA138" s="2">
        <v>1</v>
      </c>
      <c r="AB138" s="2">
        <v>0</v>
      </c>
      <c r="AC138" s="2">
        <v>1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</row>
    <row r="139" spans="1:55" x14ac:dyDescent="0.25">
      <c r="A139" s="2" t="s">
        <v>135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26</v>
      </c>
      <c r="V139" s="2">
        <v>0</v>
      </c>
      <c r="W139" s="2">
        <v>0</v>
      </c>
      <c r="X139" s="2">
        <v>0</v>
      </c>
      <c r="Y139" s="2">
        <v>12</v>
      </c>
      <c r="Z139" s="2">
        <v>62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</row>
    <row r="140" spans="1:55" x14ac:dyDescent="0.25">
      <c r="A140" s="2" t="s">
        <v>136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44</v>
      </c>
      <c r="V140" s="2">
        <v>0</v>
      </c>
      <c r="W140" s="2">
        <v>0</v>
      </c>
      <c r="X140" s="2">
        <v>0</v>
      </c>
      <c r="Y140" s="2">
        <v>1</v>
      </c>
      <c r="Z140" s="2">
        <v>2</v>
      </c>
      <c r="AA140" s="2">
        <v>53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</row>
    <row r="141" spans="1:55" x14ac:dyDescent="0.25">
      <c r="A141" s="2" t="s">
        <v>137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50</v>
      </c>
      <c r="V141" s="2">
        <v>0</v>
      </c>
      <c r="W141" s="2">
        <v>0</v>
      </c>
      <c r="X141" s="2">
        <v>0</v>
      </c>
      <c r="Y141" s="2">
        <v>4</v>
      </c>
      <c r="Z141" s="2">
        <v>15</v>
      </c>
      <c r="AA141" s="2">
        <v>31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</row>
    <row r="142" spans="1:55" x14ac:dyDescent="0.25">
      <c r="A142" s="2" t="s">
        <v>138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32</v>
      </c>
      <c r="V142" s="2">
        <v>0</v>
      </c>
      <c r="W142" s="2">
        <v>0</v>
      </c>
      <c r="X142" s="2">
        <v>11</v>
      </c>
      <c r="Y142" s="2">
        <v>10</v>
      </c>
      <c r="Z142" s="2">
        <v>27</v>
      </c>
      <c r="AA142" s="2">
        <v>19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1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</row>
    <row r="143" spans="1:55" x14ac:dyDescent="0.25">
      <c r="A143" s="2" t="s">
        <v>139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36</v>
      </c>
      <c r="V143" s="2">
        <v>0</v>
      </c>
      <c r="W143" s="2">
        <v>0</v>
      </c>
      <c r="X143" s="2">
        <v>14</v>
      </c>
      <c r="Y143" s="2">
        <v>29</v>
      </c>
      <c r="Z143" s="2">
        <v>14</v>
      </c>
      <c r="AA143" s="2">
        <v>7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</row>
    <row r="144" spans="1:55" x14ac:dyDescent="0.25">
      <c r="A144" s="2" t="s">
        <v>140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23</v>
      </c>
      <c r="V144" s="2">
        <v>0</v>
      </c>
      <c r="W144" s="2">
        <v>0</v>
      </c>
      <c r="X144" s="2">
        <v>6</v>
      </c>
      <c r="Y144" s="2">
        <v>34</v>
      </c>
      <c r="Z144" s="2">
        <v>18</v>
      </c>
      <c r="AA144" s="2">
        <v>19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</row>
    <row r="145" spans="1:55" x14ac:dyDescent="0.25">
      <c r="A145" s="2" t="s">
        <v>141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32</v>
      </c>
      <c r="V145" s="2">
        <v>0</v>
      </c>
      <c r="W145" s="2">
        <v>0</v>
      </c>
      <c r="X145" s="2">
        <v>0</v>
      </c>
      <c r="Y145" s="2">
        <v>44</v>
      </c>
      <c r="Z145" s="2">
        <v>21</v>
      </c>
      <c r="AA145" s="2">
        <v>1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0</v>
      </c>
      <c r="AL145" s="2">
        <v>0</v>
      </c>
      <c r="AM145" s="2">
        <v>0</v>
      </c>
      <c r="AN145" s="2">
        <v>1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</row>
    <row r="146" spans="1:55" x14ac:dyDescent="0.25">
      <c r="A146" s="2" t="s">
        <v>142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11</v>
      </c>
      <c r="V146" s="2">
        <v>0</v>
      </c>
      <c r="W146" s="2">
        <v>0</v>
      </c>
      <c r="X146" s="2">
        <v>7</v>
      </c>
      <c r="Y146" s="2">
        <v>54</v>
      </c>
      <c r="Z146" s="2">
        <v>8</v>
      </c>
      <c r="AA146" s="2">
        <v>14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</row>
    <row r="147" spans="1:55" x14ac:dyDescent="0.25">
      <c r="A147" s="2" t="s">
        <v>143</v>
      </c>
      <c r="B147" s="2">
        <v>0</v>
      </c>
      <c r="C147" s="2">
        <v>0</v>
      </c>
      <c r="D147" s="2">
        <v>0</v>
      </c>
      <c r="E147" s="2">
        <v>1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2</v>
      </c>
      <c r="V147" s="2">
        <v>0</v>
      </c>
      <c r="W147" s="2">
        <v>0</v>
      </c>
      <c r="X147" s="2">
        <v>0</v>
      </c>
      <c r="Y147" s="2">
        <v>1</v>
      </c>
      <c r="Z147" s="2">
        <v>70</v>
      </c>
      <c r="AA147" s="2">
        <v>19</v>
      </c>
      <c r="AB147" s="2">
        <v>0</v>
      </c>
      <c r="AC147" s="2">
        <v>2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6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</row>
    <row r="148" spans="1:55" x14ac:dyDescent="0.25">
      <c r="A148" s="2" t="s">
        <v>144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1</v>
      </c>
      <c r="H148" s="2">
        <v>1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1</v>
      </c>
      <c r="V148" s="2">
        <v>0</v>
      </c>
      <c r="W148" s="2">
        <v>0</v>
      </c>
      <c r="X148" s="2">
        <v>9</v>
      </c>
      <c r="Y148" s="2">
        <v>0</v>
      </c>
      <c r="Z148" s="2">
        <v>73</v>
      </c>
      <c r="AA148" s="2">
        <v>1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16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</row>
    <row r="149" spans="1:55" x14ac:dyDescent="0.25">
      <c r="A149" s="2" t="s">
        <v>146</v>
      </c>
      <c r="B149" s="2">
        <v>0</v>
      </c>
      <c r="C149" s="2">
        <v>0</v>
      </c>
      <c r="D149" s="2">
        <v>1</v>
      </c>
      <c r="E149" s="2">
        <v>0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26</v>
      </c>
      <c r="V149" s="2">
        <v>0</v>
      </c>
      <c r="W149" s="2">
        <v>0</v>
      </c>
      <c r="X149" s="2">
        <v>0</v>
      </c>
      <c r="Y149" s="2">
        <v>0</v>
      </c>
      <c r="Z149" s="2">
        <v>74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</row>
    <row r="150" spans="1:55" x14ac:dyDescent="0.25">
      <c r="A150" s="2" t="s">
        <v>147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74</v>
      </c>
      <c r="V150" s="2">
        <v>0</v>
      </c>
      <c r="W150" s="2">
        <v>0</v>
      </c>
      <c r="X150" s="2">
        <v>0</v>
      </c>
      <c r="Y150" s="2">
        <v>0</v>
      </c>
      <c r="Z150" s="2">
        <v>26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</row>
    <row r="151" spans="1:55" x14ac:dyDescent="0.25">
      <c r="A151" s="2" t="s">
        <v>148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41</v>
      </c>
      <c r="V151" s="2">
        <v>0</v>
      </c>
      <c r="W151" s="2">
        <v>0</v>
      </c>
      <c r="X151" s="2">
        <v>15</v>
      </c>
      <c r="Y151" s="2">
        <v>0</v>
      </c>
      <c r="Z151" s="2">
        <v>44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</row>
    <row r="152" spans="1:55" x14ac:dyDescent="0.25">
      <c r="A152" s="2" t="s">
        <v>149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19</v>
      </c>
      <c r="V152" s="2">
        <v>0</v>
      </c>
      <c r="W152" s="2">
        <v>0</v>
      </c>
      <c r="X152" s="2">
        <v>13</v>
      </c>
      <c r="Y152" s="2">
        <v>0</v>
      </c>
      <c r="Z152" s="2">
        <v>63</v>
      </c>
      <c r="AA152" s="2">
        <v>1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2</v>
      </c>
      <c r="AO152" s="2">
        <v>0</v>
      </c>
      <c r="AP152" s="2">
        <v>0</v>
      </c>
      <c r="AQ152" s="2">
        <v>0</v>
      </c>
      <c r="AR152" s="2">
        <v>0</v>
      </c>
      <c r="AS152" s="2">
        <v>2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</row>
    <row r="153" spans="1:55" x14ac:dyDescent="0.25">
      <c r="A153" s="2" t="s">
        <v>150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2</v>
      </c>
      <c r="T153" s="2">
        <v>0</v>
      </c>
      <c r="U153" s="2">
        <v>10</v>
      </c>
      <c r="V153" s="2">
        <v>3</v>
      </c>
      <c r="W153" s="2">
        <v>0</v>
      </c>
      <c r="X153" s="2">
        <v>0</v>
      </c>
      <c r="Y153" s="2">
        <v>0</v>
      </c>
      <c r="Z153" s="2">
        <v>87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</row>
    <row r="154" spans="1:55" x14ac:dyDescent="0.25">
      <c r="A154" s="2" t="s">
        <v>151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35</v>
      </c>
      <c r="V154" s="2">
        <v>46</v>
      </c>
      <c r="W154" s="2">
        <v>0</v>
      </c>
      <c r="X154" s="2">
        <v>7</v>
      </c>
      <c r="Y154" s="2">
        <v>0</v>
      </c>
      <c r="Z154" s="2">
        <v>9</v>
      </c>
      <c r="AA154" s="2">
        <v>3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</row>
    <row r="155" spans="1:55" x14ac:dyDescent="0.25">
      <c r="A155" s="2" t="s">
        <v>152</v>
      </c>
      <c r="B155" s="2">
        <v>0</v>
      </c>
      <c r="C155" s="2">
        <v>1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10</v>
      </c>
      <c r="V155" s="2">
        <v>79</v>
      </c>
      <c r="W155" s="2">
        <v>0</v>
      </c>
      <c r="X155" s="2">
        <v>0</v>
      </c>
      <c r="Y155" s="2">
        <v>5</v>
      </c>
      <c r="Z155" s="2">
        <v>6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</row>
    <row r="156" spans="1:55" x14ac:dyDescent="0.25">
      <c r="A156" s="2" t="s">
        <v>153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44</v>
      </c>
      <c r="V156" s="2">
        <v>0</v>
      </c>
      <c r="W156" s="2">
        <v>0</v>
      </c>
      <c r="X156" s="2">
        <v>8</v>
      </c>
      <c r="Y156" s="2">
        <v>0</v>
      </c>
      <c r="Z156" s="2">
        <v>38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2</v>
      </c>
      <c r="AO156" s="2">
        <v>0</v>
      </c>
      <c r="AP156" s="2">
        <v>0</v>
      </c>
      <c r="AQ156" s="2">
        <v>0</v>
      </c>
      <c r="AR156" s="2">
        <v>0</v>
      </c>
      <c r="AS156" s="2">
        <v>2</v>
      </c>
      <c r="AT156" s="2">
        <v>0</v>
      </c>
      <c r="AU156" s="2">
        <v>1</v>
      </c>
      <c r="AV156" s="2">
        <v>0</v>
      </c>
      <c r="AW156" s="2">
        <v>0</v>
      </c>
      <c r="AX156" s="2">
        <v>5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</row>
    <row r="157" spans="1:55" x14ac:dyDescent="0.25">
      <c r="A157" s="2" t="s">
        <v>154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42</v>
      </c>
      <c r="V157" s="2">
        <v>0</v>
      </c>
      <c r="W157" s="2">
        <v>0</v>
      </c>
      <c r="X157" s="2">
        <v>7</v>
      </c>
      <c r="Y157" s="2">
        <v>23</v>
      </c>
      <c r="Z157" s="2">
        <v>27</v>
      </c>
      <c r="AA157" s="2">
        <v>1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</row>
    <row r="158" spans="1:55" x14ac:dyDescent="0.25">
      <c r="A158" s="2" t="s">
        <v>155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9</v>
      </c>
      <c r="V158" s="2">
        <v>0</v>
      </c>
      <c r="W158" s="2">
        <v>0</v>
      </c>
      <c r="X158" s="2">
        <v>20</v>
      </c>
      <c r="Y158" s="2">
        <v>0</v>
      </c>
      <c r="Z158" s="2">
        <v>71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</row>
    <row r="159" spans="1:55" x14ac:dyDescent="0.25">
      <c r="A159" s="2" t="s">
        <v>156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</v>
      </c>
      <c r="V159" s="2">
        <v>0</v>
      </c>
      <c r="W159" s="2">
        <v>0</v>
      </c>
      <c r="X159" s="2">
        <v>36</v>
      </c>
      <c r="Y159" s="2">
        <v>0</v>
      </c>
      <c r="Z159" s="2">
        <v>33</v>
      </c>
      <c r="AA159" s="2">
        <v>23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2</v>
      </c>
      <c r="AT159" s="2">
        <v>0</v>
      </c>
      <c r="AU159" s="2">
        <v>0</v>
      </c>
      <c r="AV159" s="2">
        <v>0</v>
      </c>
      <c r="AW159" s="2">
        <v>2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</row>
    <row r="160" spans="1:55" x14ac:dyDescent="0.25">
      <c r="A160" s="2" t="s">
        <v>157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8</v>
      </c>
      <c r="V160" s="2">
        <v>0</v>
      </c>
      <c r="W160" s="2">
        <v>0</v>
      </c>
      <c r="X160" s="2">
        <v>71</v>
      </c>
      <c r="Y160" s="2">
        <v>0</v>
      </c>
      <c r="Z160" s="2">
        <v>11</v>
      </c>
      <c r="AA160" s="2">
        <v>10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</row>
    <row r="161" spans="1:55" x14ac:dyDescent="0.25">
      <c r="A161" s="2" t="s">
        <v>158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6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6</v>
      </c>
      <c r="Y161" s="2">
        <v>29</v>
      </c>
      <c r="Z161" s="2">
        <v>0</v>
      </c>
      <c r="AA161" s="2">
        <v>0</v>
      </c>
      <c r="AB161" s="2">
        <v>0</v>
      </c>
      <c r="AC161" s="2">
        <v>55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3</v>
      </c>
      <c r="AZ161" s="2">
        <v>0</v>
      </c>
      <c r="BA161" s="2">
        <v>0</v>
      </c>
      <c r="BB161" s="2">
        <v>0</v>
      </c>
      <c r="BC161" s="2">
        <v>0</v>
      </c>
    </row>
    <row r="162" spans="1:55" x14ac:dyDescent="0.25">
      <c r="A162" s="2" t="s">
        <v>159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48</v>
      </c>
      <c r="V162" s="2">
        <v>0</v>
      </c>
      <c r="W162" s="2">
        <v>0</v>
      </c>
      <c r="X162" s="2">
        <v>1</v>
      </c>
      <c r="Y162" s="2">
        <v>10</v>
      </c>
      <c r="Z162" s="2">
        <v>7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1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1</v>
      </c>
      <c r="AW162" s="2">
        <v>0</v>
      </c>
      <c r="AX162" s="2">
        <v>0</v>
      </c>
      <c r="AY162" s="2">
        <v>0</v>
      </c>
      <c r="AZ162" s="2">
        <v>32</v>
      </c>
      <c r="BA162" s="2">
        <v>0</v>
      </c>
      <c r="BB162" s="2">
        <v>0</v>
      </c>
      <c r="BC162" s="2">
        <v>0</v>
      </c>
    </row>
    <row r="163" spans="1:55" x14ac:dyDescent="0.25">
      <c r="A163" s="2" t="s">
        <v>160</v>
      </c>
      <c r="B163" s="2">
        <v>0</v>
      </c>
      <c r="C163" s="2">
        <v>1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1</v>
      </c>
      <c r="K163" s="2">
        <v>0</v>
      </c>
      <c r="L163" s="2">
        <v>0</v>
      </c>
      <c r="M163" s="2">
        <v>100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6</v>
      </c>
      <c r="V163" s="2">
        <v>0</v>
      </c>
      <c r="W163" s="2">
        <v>0</v>
      </c>
      <c r="X163" s="2">
        <v>0</v>
      </c>
      <c r="Y163" s="2">
        <v>0</v>
      </c>
      <c r="Z163" s="2">
        <v>56</v>
      </c>
      <c r="AA163" s="2">
        <v>0</v>
      </c>
      <c r="AB163" s="2">
        <v>0</v>
      </c>
      <c r="AC163" s="2">
        <v>26</v>
      </c>
      <c r="AD163" s="2">
        <v>11</v>
      </c>
      <c r="AE163" s="2">
        <v>0</v>
      </c>
      <c r="AF163" s="2">
        <v>1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</row>
    <row r="164" spans="1:55" x14ac:dyDescent="0.25">
      <c r="A164" s="2" t="s">
        <v>161</v>
      </c>
      <c r="B164" s="2">
        <v>0</v>
      </c>
      <c r="C164" s="2">
        <v>1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100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</row>
    <row r="165" spans="1:55" x14ac:dyDescent="0.25">
      <c r="A165" s="2" t="s">
        <v>162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40</v>
      </c>
      <c r="S165" s="2">
        <v>0</v>
      </c>
      <c r="T165" s="2">
        <v>0</v>
      </c>
      <c r="U165" s="2">
        <v>31</v>
      </c>
      <c r="V165" s="2">
        <v>0</v>
      </c>
      <c r="W165" s="2">
        <v>0</v>
      </c>
      <c r="X165" s="2">
        <v>0</v>
      </c>
      <c r="Y165" s="2">
        <v>25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41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</row>
    <row r="166" spans="1:55" x14ac:dyDescent="0.25">
      <c r="A166" s="2" t="s">
        <v>163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18</v>
      </c>
      <c r="V166" s="2">
        <v>0</v>
      </c>
      <c r="W166" s="2">
        <v>0</v>
      </c>
      <c r="X166" s="2">
        <v>19</v>
      </c>
      <c r="Y166" s="2">
        <v>20</v>
      </c>
      <c r="Z166" s="2">
        <v>42</v>
      </c>
      <c r="AA166" s="2">
        <v>1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</row>
    <row r="167" spans="1:55" x14ac:dyDescent="0.25">
      <c r="A167" s="2" t="s">
        <v>164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29</v>
      </c>
      <c r="V167" s="2">
        <v>0</v>
      </c>
      <c r="W167" s="2">
        <v>0</v>
      </c>
      <c r="X167" s="2">
        <v>29</v>
      </c>
      <c r="Y167" s="2">
        <v>0</v>
      </c>
      <c r="Z167" s="2">
        <v>4</v>
      </c>
      <c r="AA167" s="2">
        <v>37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1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</row>
    <row r="168" spans="1:55" x14ac:dyDescent="0.25">
      <c r="A168" s="2" t="s">
        <v>165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30</v>
      </c>
      <c r="V168" s="2">
        <v>0</v>
      </c>
      <c r="W168" s="2">
        <v>0</v>
      </c>
      <c r="X168" s="2">
        <v>26</v>
      </c>
      <c r="Y168" s="2">
        <v>3</v>
      </c>
      <c r="Z168" s="2">
        <v>4</v>
      </c>
      <c r="AA168" s="2">
        <v>36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1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</row>
    <row r="169" spans="1:55" x14ac:dyDescent="0.25">
      <c r="A169" s="2" t="s">
        <v>166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</v>
      </c>
      <c r="V169" s="2">
        <v>0</v>
      </c>
      <c r="W169" s="2">
        <v>0</v>
      </c>
      <c r="X169" s="2">
        <v>19</v>
      </c>
      <c r="Y169" s="2">
        <v>0</v>
      </c>
      <c r="Z169" s="2">
        <v>0</v>
      </c>
      <c r="AA169" s="2">
        <v>55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</row>
    <row r="170" spans="1:55" x14ac:dyDescent="0.25">
      <c r="A170" s="2" t="s">
        <v>167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23</v>
      </c>
      <c r="V170" s="2">
        <v>0</v>
      </c>
      <c r="W170" s="2">
        <v>0</v>
      </c>
      <c r="X170" s="2">
        <v>18</v>
      </c>
      <c r="Y170" s="2">
        <v>0</v>
      </c>
      <c r="Z170" s="2">
        <v>43</v>
      </c>
      <c r="AA170" s="2">
        <v>16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</row>
    <row r="171" spans="1:55" x14ac:dyDescent="0.25">
      <c r="A171" s="2" t="s">
        <v>168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35</v>
      </c>
      <c r="V171" s="2">
        <v>0</v>
      </c>
      <c r="W171" s="2">
        <v>0</v>
      </c>
      <c r="X171" s="2">
        <v>12</v>
      </c>
      <c r="Y171" s="2">
        <v>0</v>
      </c>
      <c r="Z171" s="2">
        <v>52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1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</row>
    <row r="172" spans="1:55" x14ac:dyDescent="0.25">
      <c r="A172" s="2" t="s">
        <v>169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</v>
      </c>
      <c r="V172" s="2">
        <v>0</v>
      </c>
      <c r="W172" s="2">
        <v>0</v>
      </c>
      <c r="X172" s="2">
        <v>10</v>
      </c>
      <c r="Y172" s="2">
        <v>0</v>
      </c>
      <c r="Z172" s="2">
        <v>39</v>
      </c>
      <c r="AA172" s="2">
        <v>6</v>
      </c>
      <c r="AB172" s="2">
        <v>0</v>
      </c>
      <c r="AC172" s="2">
        <v>2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</row>
    <row r="173" spans="1:55" x14ac:dyDescent="0.25">
      <c r="A173" s="2" t="s">
        <v>170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48</v>
      </c>
      <c r="V173" s="2">
        <v>0</v>
      </c>
      <c r="W173" s="2">
        <v>0</v>
      </c>
      <c r="X173" s="2">
        <v>2</v>
      </c>
      <c r="Y173" s="2">
        <v>0</v>
      </c>
      <c r="Z173" s="2">
        <v>50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</row>
    <row r="174" spans="1:55" x14ac:dyDescent="0.25">
      <c r="A174" s="2" t="s">
        <v>171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100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</row>
    <row r="175" spans="1:55" x14ac:dyDescent="0.25">
      <c r="A175" s="2" t="s">
        <v>172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100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</row>
    <row r="176" spans="1:55" x14ac:dyDescent="0.25">
      <c r="A176" s="2" t="s">
        <v>173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3</v>
      </c>
      <c r="S176" s="2">
        <v>0</v>
      </c>
      <c r="T176" s="2">
        <v>0</v>
      </c>
      <c r="U176" s="2">
        <v>10</v>
      </c>
      <c r="V176" s="2">
        <v>0</v>
      </c>
      <c r="W176" s="2">
        <v>0</v>
      </c>
      <c r="X176" s="2">
        <v>7</v>
      </c>
      <c r="Y176" s="2">
        <v>0</v>
      </c>
      <c r="Z176" s="2">
        <v>70</v>
      </c>
      <c r="AA176" s="2">
        <v>10</v>
      </c>
      <c r="AB176" s="2">
        <v>0</v>
      </c>
      <c r="AC176" s="2">
        <v>0</v>
      </c>
      <c r="AD176" s="2">
        <v>2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1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</row>
    <row r="177" spans="1:55" x14ac:dyDescent="0.25">
      <c r="A177" s="2" t="s">
        <v>174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6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22</v>
      </c>
      <c r="V177" s="2">
        <v>27</v>
      </c>
      <c r="W177" s="2">
        <v>0</v>
      </c>
      <c r="X177" s="2">
        <v>5</v>
      </c>
      <c r="Y177" s="2">
        <v>0</v>
      </c>
      <c r="Z177" s="2">
        <v>8</v>
      </c>
      <c r="AA177" s="2">
        <v>0</v>
      </c>
      <c r="AB177" s="2">
        <v>0</v>
      </c>
      <c r="AC177" s="2">
        <v>0</v>
      </c>
      <c r="AD177" s="2">
        <v>37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1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</row>
    <row r="178" spans="1:55" x14ac:dyDescent="0.25">
      <c r="A178" s="2" t="s">
        <v>175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28</v>
      </c>
      <c r="V178" s="2">
        <v>0</v>
      </c>
      <c r="W178" s="2">
        <v>0</v>
      </c>
      <c r="X178" s="2">
        <v>0</v>
      </c>
      <c r="Y178" s="2">
        <v>3</v>
      </c>
      <c r="Z178" s="2">
        <v>63</v>
      </c>
      <c r="AA178" s="2">
        <v>0</v>
      </c>
      <c r="AB178" s="2">
        <v>0</v>
      </c>
      <c r="AC178" s="2">
        <v>6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</row>
    <row r="179" spans="1:55" x14ac:dyDescent="0.25">
      <c r="A179" s="2" t="s">
        <v>176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11</v>
      </c>
      <c r="V179" s="2">
        <v>0</v>
      </c>
      <c r="W179" s="2">
        <v>0</v>
      </c>
      <c r="X179" s="2">
        <v>0</v>
      </c>
      <c r="Y179" s="2">
        <v>0</v>
      </c>
      <c r="Z179" s="2">
        <v>60</v>
      </c>
      <c r="AA179" s="2">
        <v>0</v>
      </c>
      <c r="AB179" s="2">
        <v>0</v>
      </c>
      <c r="AC179" s="2">
        <v>29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</row>
    <row r="180" spans="1:55" x14ac:dyDescent="0.25">
      <c r="A180" s="2" t="s">
        <v>177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16</v>
      </c>
      <c r="V180" s="2">
        <v>0</v>
      </c>
      <c r="W180" s="2">
        <v>0</v>
      </c>
      <c r="X180" s="2">
        <v>0</v>
      </c>
      <c r="Y180" s="2">
        <v>0</v>
      </c>
      <c r="Z180" s="2">
        <v>39</v>
      </c>
      <c r="AA180" s="2">
        <v>5</v>
      </c>
      <c r="AB180" s="2">
        <v>0</v>
      </c>
      <c r="AC180" s="2">
        <v>9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11</v>
      </c>
      <c r="AO180" s="2">
        <v>0</v>
      </c>
      <c r="AP180" s="2">
        <v>0</v>
      </c>
      <c r="AQ180" s="2">
        <v>1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19</v>
      </c>
      <c r="BB180" s="2">
        <v>0</v>
      </c>
      <c r="BC180" s="2">
        <v>0</v>
      </c>
    </row>
    <row r="181" spans="1:55" x14ac:dyDescent="0.25">
      <c r="A181" s="2" t="s">
        <v>178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18</v>
      </c>
      <c r="V181" s="2">
        <v>0</v>
      </c>
      <c r="W181" s="2">
        <v>0</v>
      </c>
      <c r="X181" s="2">
        <v>0</v>
      </c>
      <c r="Y181" s="2">
        <v>0</v>
      </c>
      <c r="Z181" s="2">
        <v>64</v>
      </c>
      <c r="AA181" s="2">
        <v>0</v>
      </c>
      <c r="AB181" s="2">
        <v>0</v>
      </c>
      <c r="AC181" s="2">
        <v>14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1</v>
      </c>
      <c r="AO181" s="2">
        <v>0</v>
      </c>
      <c r="AP181" s="2">
        <v>0</v>
      </c>
      <c r="AQ181" s="2">
        <v>2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1</v>
      </c>
      <c r="BA181" s="2">
        <v>0</v>
      </c>
      <c r="BB181" s="2">
        <v>0</v>
      </c>
      <c r="BC181" s="2">
        <v>0</v>
      </c>
    </row>
    <row r="182" spans="1:55" x14ac:dyDescent="0.25">
      <c r="A182" s="2" t="s">
        <v>179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26</v>
      </c>
      <c r="V182" s="2">
        <v>0</v>
      </c>
      <c r="W182" s="2">
        <v>0</v>
      </c>
      <c r="X182" s="2">
        <v>0</v>
      </c>
      <c r="Y182" s="2">
        <v>0</v>
      </c>
      <c r="Z182" s="2">
        <v>17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48</v>
      </c>
      <c r="AM182" s="2">
        <v>0</v>
      </c>
      <c r="AN182" s="2">
        <v>5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4</v>
      </c>
      <c r="BA182" s="2">
        <v>0</v>
      </c>
      <c r="BB182" s="2">
        <v>0</v>
      </c>
      <c r="BC182" s="2">
        <v>0</v>
      </c>
    </row>
    <row r="183" spans="1:55" x14ac:dyDescent="0.25">
      <c r="A183" s="2" t="s">
        <v>180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1</v>
      </c>
      <c r="V183" s="2">
        <v>0</v>
      </c>
      <c r="W183" s="2">
        <v>0</v>
      </c>
      <c r="X183" s="2">
        <v>0</v>
      </c>
      <c r="Y183" s="2">
        <v>0</v>
      </c>
      <c r="Z183" s="2">
        <v>28</v>
      </c>
      <c r="AA183" s="2">
        <v>6</v>
      </c>
      <c r="AB183" s="2">
        <v>10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31</v>
      </c>
      <c r="AM183" s="2">
        <v>0</v>
      </c>
      <c r="AN183" s="2">
        <v>21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3</v>
      </c>
      <c r="BA183" s="2">
        <v>0</v>
      </c>
      <c r="BB183" s="2">
        <v>0</v>
      </c>
      <c r="BC183" s="2">
        <v>0</v>
      </c>
    </row>
    <row r="184" spans="1:55" x14ac:dyDescent="0.25">
      <c r="A184" s="2" t="s">
        <v>181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14</v>
      </c>
      <c r="V184" s="2">
        <v>0</v>
      </c>
      <c r="W184" s="2">
        <v>0</v>
      </c>
      <c r="X184" s="2">
        <v>0</v>
      </c>
      <c r="Y184" s="2">
        <v>0</v>
      </c>
      <c r="Z184" s="2">
        <v>86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</row>
    <row r="185" spans="1:55" x14ac:dyDescent="0.25">
      <c r="A185" s="2" t="s">
        <v>182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36</v>
      </c>
      <c r="V185" s="2">
        <v>0</v>
      </c>
      <c r="W185" s="2">
        <v>0</v>
      </c>
      <c r="X185" s="2">
        <v>0</v>
      </c>
      <c r="Y185" s="2">
        <v>6</v>
      </c>
      <c r="Z185" s="2">
        <v>58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</row>
    <row r="186" spans="1:55" x14ac:dyDescent="0.25">
      <c r="A186" s="2" t="s">
        <v>183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62</v>
      </c>
      <c r="V186" s="2">
        <v>0</v>
      </c>
      <c r="W186" s="2">
        <v>0</v>
      </c>
      <c r="X186" s="2">
        <v>0</v>
      </c>
      <c r="Y186" s="2">
        <v>29</v>
      </c>
      <c r="Z186" s="2">
        <v>8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1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</row>
    <row r="187" spans="1:55" x14ac:dyDescent="0.25">
      <c r="A187" s="2" t="s">
        <v>184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100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</row>
    <row r="188" spans="1:55" x14ac:dyDescent="0.25">
      <c r="A188" s="2" t="s">
        <v>185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52</v>
      </c>
      <c r="V188" s="2">
        <v>0</v>
      </c>
      <c r="W188" s="2">
        <v>0</v>
      </c>
      <c r="X188" s="2">
        <v>0</v>
      </c>
      <c r="Y188" s="2">
        <v>0</v>
      </c>
      <c r="Z188" s="2">
        <v>8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</row>
    <row r="189" spans="1:55" x14ac:dyDescent="0.25">
      <c r="A189" s="2" t="s">
        <v>186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1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93</v>
      </c>
      <c r="V189" s="2">
        <v>0</v>
      </c>
      <c r="W189" s="2">
        <v>0</v>
      </c>
      <c r="X189" s="2">
        <v>0</v>
      </c>
      <c r="Y189" s="2">
        <v>0</v>
      </c>
      <c r="Z189" s="2">
        <v>7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</row>
    <row r="190" spans="1:55" x14ac:dyDescent="0.25">
      <c r="A190" s="2" t="s">
        <v>187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52</v>
      </c>
      <c r="V190" s="2">
        <v>0</v>
      </c>
      <c r="W190" s="2">
        <v>0</v>
      </c>
      <c r="X190" s="2">
        <v>0</v>
      </c>
      <c r="Y190" s="2">
        <v>0</v>
      </c>
      <c r="Z190" s="2">
        <v>29</v>
      </c>
      <c r="AA190" s="2">
        <v>0</v>
      </c>
      <c r="AB190" s="2">
        <v>5</v>
      </c>
      <c r="AC190" s="2">
        <v>14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</row>
    <row r="191" spans="1:55" x14ac:dyDescent="0.25">
      <c r="A191" s="2" t="s">
        <v>188</v>
      </c>
      <c r="B191" s="2">
        <v>0</v>
      </c>
      <c r="C191" s="2">
        <v>1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16</v>
      </c>
      <c r="V191" s="2">
        <v>0</v>
      </c>
      <c r="W191" s="2">
        <v>0</v>
      </c>
      <c r="X191" s="2">
        <v>0</v>
      </c>
      <c r="Y191" s="2">
        <v>40</v>
      </c>
      <c r="Z191" s="2">
        <v>40</v>
      </c>
      <c r="AA191" s="2">
        <v>0</v>
      </c>
      <c r="AB191" s="2">
        <v>0</v>
      </c>
      <c r="AC191" s="2">
        <v>0</v>
      </c>
      <c r="AD191" s="2">
        <v>4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</row>
    <row r="192" spans="1:55" x14ac:dyDescent="0.25">
      <c r="A192" s="2" t="s">
        <v>189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  <c r="K192" s="2">
        <v>0</v>
      </c>
      <c r="L192" s="2">
        <v>1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29</v>
      </c>
      <c r="V192" s="2">
        <v>0</v>
      </c>
      <c r="W192" s="2">
        <v>0</v>
      </c>
      <c r="X192" s="2">
        <v>0</v>
      </c>
      <c r="Y192" s="2">
        <v>35</v>
      </c>
      <c r="Z192" s="2">
        <v>36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</row>
    <row r="193" spans="1:55" x14ac:dyDescent="0.25">
      <c r="A193" s="2" t="s">
        <v>190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39</v>
      </c>
      <c r="V193" s="2">
        <v>0</v>
      </c>
      <c r="W193" s="2">
        <v>0</v>
      </c>
      <c r="X193" s="2">
        <v>0</v>
      </c>
      <c r="Y193" s="2">
        <v>31</v>
      </c>
      <c r="Z193" s="2">
        <v>30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</row>
    <row r="194" spans="1:55" x14ac:dyDescent="0.25">
      <c r="A194" s="2" t="s">
        <v>191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50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59</v>
      </c>
      <c r="V194" s="2">
        <v>8</v>
      </c>
      <c r="W194" s="2">
        <v>0</v>
      </c>
      <c r="X194" s="2">
        <v>0</v>
      </c>
      <c r="Y194" s="2">
        <v>0</v>
      </c>
      <c r="Z194" s="2">
        <v>33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</row>
    <row r="195" spans="1:55" x14ac:dyDescent="0.25">
      <c r="A195" s="2" t="s">
        <v>192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55</v>
      </c>
      <c r="V195" s="2">
        <v>30</v>
      </c>
      <c r="W195" s="2">
        <v>0</v>
      </c>
      <c r="X195" s="2">
        <v>0</v>
      </c>
      <c r="Y195" s="2">
        <v>3</v>
      </c>
      <c r="Z195" s="2">
        <v>12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</row>
    <row r="196" spans="1:55" x14ac:dyDescent="0.25">
      <c r="A196" s="2" t="s">
        <v>193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100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</row>
    <row r="197" spans="1:55" x14ac:dyDescent="0.25">
      <c r="A197" s="2" t="s">
        <v>194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100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</row>
    <row r="198" spans="1:55" x14ac:dyDescent="0.25">
      <c r="A198" s="2" t="s">
        <v>195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1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5</v>
      </c>
      <c r="V198" s="2">
        <v>0</v>
      </c>
      <c r="W198" s="2">
        <v>0</v>
      </c>
      <c r="X198" s="2">
        <v>20</v>
      </c>
      <c r="Y198" s="2">
        <v>0</v>
      </c>
      <c r="Z198" s="2">
        <v>21</v>
      </c>
      <c r="AA198" s="2">
        <v>43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11</v>
      </c>
      <c r="BB198" s="2">
        <v>0</v>
      </c>
      <c r="BC198" s="2">
        <v>0</v>
      </c>
    </row>
    <row r="199" spans="1:55" x14ac:dyDescent="0.25">
      <c r="A199" s="2" t="s">
        <v>196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1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26</v>
      </c>
      <c r="V199" s="2">
        <v>0</v>
      </c>
      <c r="W199" s="2">
        <v>0</v>
      </c>
      <c r="X199" s="2">
        <v>36</v>
      </c>
      <c r="Y199" s="2">
        <v>0</v>
      </c>
      <c r="Z199" s="2">
        <v>33</v>
      </c>
      <c r="AA199" s="2">
        <v>5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</row>
    <row r="200" spans="1:55" x14ac:dyDescent="0.25">
      <c r="A200" s="2" t="s">
        <v>197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100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</row>
    <row r="201" spans="1:55" x14ac:dyDescent="0.25">
      <c r="A201" s="2" t="s">
        <v>198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56</v>
      </c>
      <c r="V201" s="2">
        <v>0</v>
      </c>
      <c r="W201" s="2">
        <v>0</v>
      </c>
      <c r="X201" s="2">
        <v>12</v>
      </c>
      <c r="Y201" s="2">
        <v>0</v>
      </c>
      <c r="Z201" s="2">
        <v>25</v>
      </c>
      <c r="AA201" s="2">
        <v>7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</row>
    <row r="202" spans="1:55" x14ac:dyDescent="0.25">
      <c r="A202" s="2" t="s">
        <v>199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89</v>
      </c>
      <c r="V202" s="2">
        <v>0</v>
      </c>
      <c r="W202" s="2">
        <v>0</v>
      </c>
      <c r="X202" s="2">
        <v>0</v>
      </c>
      <c r="Y202" s="2">
        <v>0</v>
      </c>
      <c r="Z202" s="2">
        <v>11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</row>
    <row r="203" spans="1:55" x14ac:dyDescent="0.25">
      <c r="A203" s="2" t="s">
        <v>200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84</v>
      </c>
      <c r="V203" s="2">
        <v>0</v>
      </c>
      <c r="W203" s="2">
        <v>0</v>
      </c>
      <c r="X203" s="2">
        <v>0</v>
      </c>
      <c r="Y203" s="2">
        <v>16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</row>
    <row r="204" spans="1:55" x14ac:dyDescent="0.25">
      <c r="A204" s="2" t="s">
        <v>201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23</v>
      </c>
      <c r="V204" s="2">
        <v>0</v>
      </c>
      <c r="W204" s="2">
        <v>0</v>
      </c>
      <c r="X204" s="2">
        <v>0</v>
      </c>
      <c r="Y204" s="2">
        <v>0</v>
      </c>
      <c r="Z204" s="2">
        <v>70</v>
      </c>
      <c r="AA204" s="2">
        <v>2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5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</row>
    <row r="205" spans="1:55" x14ac:dyDescent="0.25">
      <c r="A205" s="2" t="s">
        <v>202</v>
      </c>
      <c r="B205" s="2">
        <v>0</v>
      </c>
      <c r="C205" s="2">
        <v>1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63</v>
      </c>
      <c r="AA205" s="2">
        <v>10</v>
      </c>
      <c r="AB205" s="2">
        <v>0</v>
      </c>
      <c r="AC205" s="2">
        <v>16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11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</row>
    <row r="206" spans="1:55" x14ac:dyDescent="0.25">
      <c r="A206" s="2" t="s">
        <v>203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49</v>
      </c>
      <c r="V206" s="2">
        <v>0</v>
      </c>
      <c r="W206" s="2">
        <v>0</v>
      </c>
      <c r="X206" s="2">
        <v>0</v>
      </c>
      <c r="Y206" s="2">
        <v>0</v>
      </c>
      <c r="Z206" s="2">
        <v>51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</row>
    <row r="207" spans="1:55" x14ac:dyDescent="0.25">
      <c r="A207" s="2" t="s">
        <v>204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52</v>
      </c>
      <c r="V207" s="2">
        <v>0</v>
      </c>
      <c r="W207" s="2">
        <v>0</v>
      </c>
      <c r="X207" s="2">
        <v>0</v>
      </c>
      <c r="Y207" s="2">
        <v>0</v>
      </c>
      <c r="Z207" s="2">
        <v>48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</row>
    <row r="208" spans="1:55" x14ac:dyDescent="0.25">
      <c r="A208" s="2" t="s">
        <v>205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26</v>
      </c>
      <c r="V208" s="2">
        <v>0</v>
      </c>
      <c r="W208" s="2">
        <v>0</v>
      </c>
      <c r="X208" s="2">
        <v>0</v>
      </c>
      <c r="Y208" s="2">
        <v>0</v>
      </c>
      <c r="Z208" s="2">
        <v>65</v>
      </c>
      <c r="AA208" s="2">
        <v>9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</row>
    <row r="209" spans="1:55" x14ac:dyDescent="0.25">
      <c r="A209" s="2" t="s">
        <v>206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86</v>
      </c>
      <c r="V209" s="2">
        <v>0</v>
      </c>
      <c r="W209" s="2">
        <v>0</v>
      </c>
      <c r="X209" s="2">
        <v>0</v>
      </c>
      <c r="Y209" s="2">
        <v>0</v>
      </c>
      <c r="Z209" s="2">
        <v>14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</row>
    <row r="210" spans="1:55" x14ac:dyDescent="0.25">
      <c r="A210" s="2" t="s">
        <v>207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94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1</v>
      </c>
      <c r="AB210" s="2">
        <v>0</v>
      </c>
      <c r="AC210" s="2">
        <v>5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</row>
    <row r="211" spans="1:55" x14ac:dyDescent="0.25">
      <c r="A211" s="2" t="s">
        <v>208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58</v>
      </c>
      <c r="V211" s="2">
        <v>0</v>
      </c>
      <c r="W211" s="2">
        <v>0</v>
      </c>
      <c r="X211" s="2">
        <v>0</v>
      </c>
      <c r="Y211" s="2">
        <v>37</v>
      </c>
      <c r="Z211" s="2">
        <v>5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</row>
    <row r="212" spans="1:55" x14ac:dyDescent="0.25">
      <c r="A212" s="2" t="s">
        <v>209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63</v>
      </c>
      <c r="V212" s="2">
        <v>0</v>
      </c>
      <c r="W212" s="2">
        <v>0</v>
      </c>
      <c r="X212" s="2">
        <v>0</v>
      </c>
      <c r="Y212" s="2">
        <v>25</v>
      </c>
      <c r="Z212" s="2">
        <v>9</v>
      </c>
      <c r="AA212" s="2">
        <v>0</v>
      </c>
      <c r="AB212" s="2">
        <v>0</v>
      </c>
      <c r="AC212" s="2">
        <v>3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</row>
    <row r="213" spans="1:55" x14ac:dyDescent="0.25">
      <c r="A213" s="2" t="s">
        <v>210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51</v>
      </c>
      <c r="V213" s="2">
        <v>0</v>
      </c>
      <c r="W213" s="2">
        <v>0</v>
      </c>
      <c r="X213" s="2">
        <v>0</v>
      </c>
      <c r="Y213" s="2">
        <v>10</v>
      </c>
      <c r="Z213" s="2">
        <v>39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</row>
    <row r="214" spans="1:55" x14ac:dyDescent="0.25">
      <c r="A214" s="2" t="s">
        <v>211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55</v>
      </c>
      <c r="V214" s="2">
        <v>0</v>
      </c>
      <c r="W214" s="2">
        <v>0</v>
      </c>
      <c r="X214" s="2">
        <v>0</v>
      </c>
      <c r="Y214" s="2">
        <v>10</v>
      </c>
      <c r="Z214" s="2">
        <v>35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</row>
    <row r="215" spans="1:55" x14ac:dyDescent="0.25">
      <c r="A215" s="2" t="s">
        <v>212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17</v>
      </c>
      <c r="V215" s="2">
        <v>0</v>
      </c>
      <c r="W215" s="2">
        <v>0</v>
      </c>
      <c r="X215" s="2">
        <v>1</v>
      </c>
      <c r="Y215" s="2">
        <v>0</v>
      </c>
      <c r="Z215" s="2">
        <v>82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</row>
    <row r="216" spans="1:55" x14ac:dyDescent="0.25">
      <c r="A216" s="2" t="s">
        <v>213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29</v>
      </c>
      <c r="V216" s="2">
        <v>0</v>
      </c>
      <c r="W216" s="2">
        <v>0</v>
      </c>
      <c r="X216" s="2">
        <v>1</v>
      </c>
      <c r="Y216" s="2">
        <v>0</v>
      </c>
      <c r="Z216" s="2">
        <v>70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</row>
    <row r="217" spans="1:55" x14ac:dyDescent="0.25">
      <c r="A217" s="2" t="s">
        <v>214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34</v>
      </c>
      <c r="V217" s="2">
        <v>0</v>
      </c>
      <c r="W217" s="2">
        <v>0</v>
      </c>
      <c r="X217" s="2">
        <v>0</v>
      </c>
      <c r="Y217" s="2">
        <v>0</v>
      </c>
      <c r="Z217" s="2">
        <v>55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11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</row>
    <row r="218" spans="1:55" x14ac:dyDescent="0.25">
      <c r="A218" s="2" t="s">
        <v>215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42</v>
      </c>
      <c r="V218" s="2">
        <v>0</v>
      </c>
      <c r="W218" s="2">
        <v>0</v>
      </c>
      <c r="X218" s="2">
        <v>0</v>
      </c>
      <c r="Y218" s="2">
        <v>0</v>
      </c>
      <c r="Z218" s="2">
        <v>43</v>
      </c>
      <c r="AA218" s="2">
        <v>9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6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</row>
    <row r="219" spans="1:55" x14ac:dyDescent="0.25">
      <c r="A219" s="2" t="s">
        <v>216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25</v>
      </c>
      <c r="V219" s="2">
        <v>0</v>
      </c>
      <c r="W219" s="2">
        <v>0</v>
      </c>
      <c r="X219" s="2">
        <v>0</v>
      </c>
      <c r="Y219" s="2">
        <v>0</v>
      </c>
      <c r="Z219" s="2">
        <v>75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</row>
    <row r="220" spans="1:55" x14ac:dyDescent="0.25">
      <c r="A220" s="2" t="s">
        <v>217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25</v>
      </c>
      <c r="L220" s="2">
        <v>0</v>
      </c>
      <c r="M220" s="2">
        <v>0</v>
      </c>
      <c r="N220" s="2">
        <v>75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100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</row>
    <row r="221" spans="1:55" x14ac:dyDescent="0.25">
      <c r="A221" s="2" t="s">
        <v>218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100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50</v>
      </c>
      <c r="AA221" s="2">
        <v>0</v>
      </c>
      <c r="AB221" s="2">
        <v>0</v>
      </c>
      <c r="AC221" s="2">
        <v>50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</row>
    <row r="222" spans="1:55" x14ac:dyDescent="0.25">
      <c r="A222" s="2" t="s">
        <v>219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3</v>
      </c>
      <c r="V222" s="2">
        <v>0</v>
      </c>
      <c r="W222" s="2">
        <v>0</v>
      </c>
      <c r="X222" s="2">
        <v>0</v>
      </c>
      <c r="Y222" s="2">
        <v>0</v>
      </c>
      <c r="Z222" s="2">
        <v>96</v>
      </c>
      <c r="AA222" s="2">
        <v>1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</row>
    <row r="223" spans="1:55" x14ac:dyDescent="0.25">
      <c r="A223" s="2" t="s">
        <v>221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100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10</v>
      </c>
      <c r="Z223" s="2">
        <v>0</v>
      </c>
      <c r="AA223" s="2">
        <v>0</v>
      </c>
      <c r="AB223" s="2">
        <v>0</v>
      </c>
      <c r="AC223" s="2">
        <v>90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</row>
    <row r="224" spans="1:55" x14ac:dyDescent="0.25">
      <c r="A224" s="2" t="s">
        <v>222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54</v>
      </c>
      <c r="V224" s="2">
        <v>0</v>
      </c>
      <c r="W224" s="2">
        <v>0</v>
      </c>
      <c r="X224" s="2">
        <v>0</v>
      </c>
      <c r="Y224" s="2">
        <v>31</v>
      </c>
      <c r="Z224" s="2">
        <v>15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</row>
    <row r="225" spans="1:55" x14ac:dyDescent="0.25">
      <c r="A225" s="2" t="s">
        <v>223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100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zoomScale="125" workbookViewId="0">
      <selection sqref="A1:XFD1048576"/>
    </sheetView>
  </sheetViews>
  <sheetFormatPr defaultColWidth="11" defaultRowHeight="15.75" x14ac:dyDescent="0.25"/>
  <cols>
    <col min="1" max="16384" width="11" style="4"/>
  </cols>
  <sheetData>
    <row r="1" spans="1:4" x14ac:dyDescent="0.25">
      <c r="A1" s="4">
        <v>221</v>
      </c>
      <c r="B1" s="4" t="s">
        <v>288</v>
      </c>
    </row>
    <row r="2" spans="1:4" x14ac:dyDescent="0.25">
      <c r="A2" s="4">
        <v>3</v>
      </c>
      <c r="B2" s="4" t="s">
        <v>289</v>
      </c>
    </row>
    <row r="3" spans="1:4" x14ac:dyDescent="0.25">
      <c r="B3" s="4" t="s">
        <v>287</v>
      </c>
      <c r="C3" s="4" t="s">
        <v>287</v>
      </c>
      <c r="D3" s="4" t="s">
        <v>287</v>
      </c>
    </row>
    <row r="4" spans="1:4" x14ac:dyDescent="0.25">
      <c r="A4" s="5" t="s">
        <v>286</v>
      </c>
      <c r="B4" s="5" t="s">
        <v>281</v>
      </c>
      <c r="C4" s="5" t="s">
        <v>282</v>
      </c>
      <c r="D4" s="5" t="s">
        <v>285</v>
      </c>
    </row>
    <row r="5" spans="1:4" x14ac:dyDescent="0.25">
      <c r="A5" s="4" t="s">
        <v>0</v>
      </c>
      <c r="B5" s="4">
        <v>11</v>
      </c>
      <c r="C5" s="4">
        <v>270</v>
      </c>
      <c r="D5" s="4">
        <v>10.62</v>
      </c>
    </row>
    <row r="6" spans="1:4" x14ac:dyDescent="0.25">
      <c r="A6" s="4" t="s">
        <v>1</v>
      </c>
      <c r="B6" s="4">
        <v>11</v>
      </c>
      <c r="C6" s="4">
        <v>272</v>
      </c>
      <c r="D6" s="4">
        <v>4.4000000000000004</v>
      </c>
    </row>
    <row r="7" spans="1:4" x14ac:dyDescent="0.25">
      <c r="A7" s="4" t="s">
        <v>2</v>
      </c>
      <c r="B7" s="4">
        <v>12</v>
      </c>
      <c r="C7" s="4">
        <v>280</v>
      </c>
      <c r="D7" s="4">
        <v>17.7</v>
      </c>
    </row>
    <row r="8" spans="1:4" x14ac:dyDescent="0.25">
      <c r="A8" s="4" t="s">
        <v>3</v>
      </c>
      <c r="B8" s="4">
        <v>15</v>
      </c>
      <c r="C8" s="4">
        <v>246</v>
      </c>
      <c r="D8" s="4">
        <v>13.5</v>
      </c>
    </row>
    <row r="9" spans="1:4" x14ac:dyDescent="0.25">
      <c r="A9" s="4" t="s">
        <v>4</v>
      </c>
      <c r="B9" s="4">
        <v>16</v>
      </c>
      <c r="C9" s="4">
        <v>252</v>
      </c>
      <c r="D9" s="4">
        <v>9.15</v>
      </c>
    </row>
    <row r="10" spans="1:4" x14ac:dyDescent="0.25">
      <c r="A10" s="4" t="s">
        <v>5</v>
      </c>
      <c r="B10" s="4">
        <v>14</v>
      </c>
      <c r="C10" s="4">
        <v>262</v>
      </c>
      <c r="D10" s="4">
        <v>7.07</v>
      </c>
    </row>
    <row r="11" spans="1:4" x14ac:dyDescent="0.25">
      <c r="A11" s="4" t="s">
        <v>6</v>
      </c>
      <c r="B11" s="4">
        <v>14</v>
      </c>
      <c r="C11" s="4">
        <v>270</v>
      </c>
      <c r="D11" s="4">
        <v>43.1</v>
      </c>
    </row>
    <row r="12" spans="1:4" x14ac:dyDescent="0.25">
      <c r="A12" s="4" t="s">
        <v>7</v>
      </c>
      <c r="B12" s="4">
        <v>18</v>
      </c>
      <c r="C12" s="4">
        <v>242</v>
      </c>
      <c r="D12" s="4">
        <v>6.67</v>
      </c>
    </row>
    <row r="13" spans="1:4" x14ac:dyDescent="0.25">
      <c r="A13" s="4" t="s">
        <v>8</v>
      </c>
      <c r="B13" s="4">
        <v>10</v>
      </c>
      <c r="C13" s="4">
        <v>270</v>
      </c>
      <c r="D13" s="4">
        <v>5.2</v>
      </c>
    </row>
    <row r="14" spans="1:4" x14ac:dyDescent="0.25">
      <c r="A14" s="4" t="s">
        <v>9</v>
      </c>
      <c r="B14" s="4">
        <v>14</v>
      </c>
      <c r="C14" s="4">
        <v>226</v>
      </c>
      <c r="D14" s="4">
        <v>10.4</v>
      </c>
    </row>
    <row r="15" spans="1:4" x14ac:dyDescent="0.25">
      <c r="A15" s="4" t="s">
        <v>10</v>
      </c>
      <c r="B15" s="4">
        <v>15.5</v>
      </c>
      <c r="C15" s="4">
        <v>235</v>
      </c>
      <c r="D15" s="4">
        <v>15.25</v>
      </c>
    </row>
    <row r="16" spans="1:4" x14ac:dyDescent="0.25">
      <c r="A16" s="4" t="s">
        <v>11</v>
      </c>
      <c r="B16" s="4">
        <v>17</v>
      </c>
      <c r="C16" s="4">
        <v>244</v>
      </c>
      <c r="D16" s="4">
        <v>19</v>
      </c>
    </row>
    <row r="17" spans="1:4" x14ac:dyDescent="0.25">
      <c r="A17" s="4" t="s">
        <v>12</v>
      </c>
      <c r="B17" s="4">
        <v>20</v>
      </c>
      <c r="C17" s="4">
        <v>228</v>
      </c>
      <c r="D17" s="4">
        <v>27.87</v>
      </c>
    </row>
    <row r="18" spans="1:4" ht="20.100000000000001" customHeight="1" x14ac:dyDescent="0.25">
      <c r="A18" s="4" t="s">
        <v>13</v>
      </c>
      <c r="B18" s="4">
        <v>19</v>
      </c>
      <c r="C18" s="4">
        <v>234</v>
      </c>
      <c r="D18" s="4">
        <f>AVERAGE(7.4,28.2,23.4,48)</f>
        <v>26.75</v>
      </c>
    </row>
    <row r="19" spans="1:4" ht="17.100000000000001" customHeight="1" x14ac:dyDescent="0.25">
      <c r="A19" s="4" t="s">
        <v>14</v>
      </c>
      <c r="B19" s="4">
        <v>13</v>
      </c>
      <c r="C19" s="4">
        <v>258</v>
      </c>
      <c r="D19" s="4">
        <f>AVERAGE(10, 11.2, 46, 46.1)</f>
        <v>28.325000000000003</v>
      </c>
    </row>
    <row r="20" spans="1:4" x14ac:dyDescent="0.25">
      <c r="A20" s="4" t="s">
        <v>15</v>
      </c>
      <c r="B20" s="4">
        <v>14</v>
      </c>
      <c r="C20" s="4">
        <v>240</v>
      </c>
      <c r="D20" s="4">
        <f>AVERAGE(10.5,12,21,17.5)</f>
        <v>15.25</v>
      </c>
    </row>
    <row r="21" spans="1:4" x14ac:dyDescent="0.25">
      <c r="A21" s="4" t="s">
        <v>16</v>
      </c>
      <c r="B21" s="4">
        <v>11</v>
      </c>
      <c r="C21" s="4">
        <v>222</v>
      </c>
      <c r="D21" s="4">
        <f>AVERAGE(28.6,17,20,18.5)</f>
        <v>21.024999999999999</v>
      </c>
    </row>
    <row r="22" spans="1:4" x14ac:dyDescent="0.25">
      <c r="A22" s="4" t="s">
        <v>17</v>
      </c>
      <c r="B22" s="4">
        <v>13</v>
      </c>
      <c r="C22" s="4">
        <v>220</v>
      </c>
      <c r="D22" s="4">
        <f>AVERAGE(17.3,12.2,22.1,10.5)</f>
        <v>15.525</v>
      </c>
    </row>
    <row r="23" spans="1:4" x14ac:dyDescent="0.25">
      <c r="A23" s="4" t="s">
        <v>18</v>
      </c>
      <c r="B23" s="4">
        <v>15</v>
      </c>
      <c r="C23" s="4">
        <v>228</v>
      </c>
      <c r="D23" s="4">
        <f>AVERAGE(19.1,17.1,27.4,12.5)</f>
        <v>19.024999999999999</v>
      </c>
    </row>
    <row r="24" spans="1:4" x14ac:dyDescent="0.25">
      <c r="A24" s="4" t="s">
        <v>19</v>
      </c>
      <c r="B24" s="4">
        <v>18</v>
      </c>
      <c r="C24" s="4">
        <v>228</v>
      </c>
      <c r="D24" s="4">
        <f>AVERAGE(38.6,7,13.7,27.2)</f>
        <v>21.625</v>
      </c>
    </row>
    <row r="25" spans="1:4" x14ac:dyDescent="0.25">
      <c r="A25" s="4" t="s">
        <v>20</v>
      </c>
      <c r="B25" s="4">
        <v>14</v>
      </c>
      <c r="C25" s="4">
        <v>228</v>
      </c>
      <c r="D25" s="4">
        <f>AVERAGE(22.9,27.5,21,27.5)</f>
        <v>24.725000000000001</v>
      </c>
    </row>
    <row r="26" spans="1:4" x14ac:dyDescent="0.25">
      <c r="A26" s="4" t="s">
        <v>21</v>
      </c>
      <c r="B26" s="4">
        <v>14</v>
      </c>
      <c r="C26" s="4">
        <v>240</v>
      </c>
      <c r="D26" s="4">
        <f>AVERAGE(28.7,25.5,16.3,16)</f>
        <v>21.625</v>
      </c>
    </row>
    <row r="27" spans="1:4" x14ac:dyDescent="0.25">
      <c r="A27" s="4" t="s">
        <v>22</v>
      </c>
      <c r="B27" s="4">
        <v>15</v>
      </c>
      <c r="C27" s="4">
        <v>228</v>
      </c>
      <c r="D27" s="4">
        <f>AVERAGE(17.2,29.1,15.5,19.6)</f>
        <v>20.350000000000001</v>
      </c>
    </row>
    <row r="28" spans="1:4" x14ac:dyDescent="0.25">
      <c r="A28" s="4" t="s">
        <v>23</v>
      </c>
      <c r="B28" s="4">
        <v>14</v>
      </c>
      <c r="C28" s="4">
        <v>244</v>
      </c>
      <c r="D28" s="4">
        <f>AVERAGE(23.2,26.9,5.5,0)</f>
        <v>13.899999999999999</v>
      </c>
    </row>
    <row r="29" spans="1:4" x14ac:dyDescent="0.25">
      <c r="A29" s="4" t="s">
        <v>24</v>
      </c>
      <c r="B29" s="4">
        <v>11</v>
      </c>
      <c r="C29" s="4">
        <v>242</v>
      </c>
      <c r="D29" s="4">
        <f>AVERAGE(20.5,0,23.3,11.3)</f>
        <v>13.774999999999999</v>
      </c>
    </row>
    <row r="30" spans="1:4" x14ac:dyDescent="0.25">
      <c r="A30" s="4" t="s">
        <v>25</v>
      </c>
      <c r="B30" s="4">
        <v>5</v>
      </c>
      <c r="C30" s="4">
        <v>264</v>
      </c>
      <c r="D30" s="4">
        <f>AVERAGE(16.3,7.2,6,12)</f>
        <v>10.375</v>
      </c>
    </row>
    <row r="31" spans="1:4" x14ac:dyDescent="0.25">
      <c r="A31" s="4" t="s">
        <v>26</v>
      </c>
      <c r="B31" s="4">
        <v>10</v>
      </c>
      <c r="C31" s="4">
        <v>304</v>
      </c>
      <c r="D31" s="4">
        <f>AVERAGE(10.5,12,6,35)</f>
        <v>15.875</v>
      </c>
    </row>
    <row r="32" spans="1:4" x14ac:dyDescent="0.25">
      <c r="A32" s="4" t="s">
        <v>27</v>
      </c>
      <c r="B32" s="4">
        <v>15</v>
      </c>
      <c r="C32" s="4">
        <v>332</v>
      </c>
      <c r="D32" s="4">
        <f>AVERAGE(17.1,8,13,15.1)</f>
        <v>13.3</v>
      </c>
    </row>
    <row r="33" spans="1:4" x14ac:dyDescent="0.25">
      <c r="A33" s="4" t="s">
        <v>28</v>
      </c>
      <c r="B33" s="4">
        <v>16</v>
      </c>
      <c r="C33" s="4">
        <v>238</v>
      </c>
      <c r="D33" s="4">
        <f>AVERAGE(17.6,27.5,48,23)</f>
        <v>29.024999999999999</v>
      </c>
    </row>
    <row r="34" spans="1:4" x14ac:dyDescent="0.25">
      <c r="A34" s="4" t="s">
        <v>29</v>
      </c>
      <c r="B34" s="4">
        <v>13</v>
      </c>
      <c r="C34" s="4">
        <v>224</v>
      </c>
      <c r="D34" s="4">
        <f>AVERAGE(17,15.5,35.1,11.7)</f>
        <v>19.824999999999999</v>
      </c>
    </row>
    <row r="35" spans="1:4" x14ac:dyDescent="0.25">
      <c r="A35" s="4" t="s">
        <v>30</v>
      </c>
      <c r="B35" s="4">
        <v>15</v>
      </c>
      <c r="C35" s="4">
        <v>224</v>
      </c>
      <c r="D35" s="4">
        <f>AVERAGE(11.1,13,22,18.9)</f>
        <v>16.25</v>
      </c>
    </row>
    <row r="36" spans="1:4" x14ac:dyDescent="0.25">
      <c r="A36" s="4" t="s">
        <v>31</v>
      </c>
      <c r="B36" s="4">
        <v>19</v>
      </c>
      <c r="C36" s="4">
        <v>234</v>
      </c>
      <c r="D36" s="4">
        <f>AVERAGE(14.5,8,11,11.2)</f>
        <v>11.175000000000001</v>
      </c>
    </row>
    <row r="37" spans="1:4" x14ac:dyDescent="0.25">
      <c r="A37" s="4" t="s">
        <v>32</v>
      </c>
      <c r="B37" s="4">
        <v>17</v>
      </c>
      <c r="C37" s="4">
        <v>222</v>
      </c>
      <c r="D37" s="4">
        <f>AVERAGE(26,20.5,25.5,12)</f>
        <v>21</v>
      </c>
    </row>
    <row r="38" spans="1:4" x14ac:dyDescent="0.25">
      <c r="A38" s="4" t="s">
        <v>33</v>
      </c>
      <c r="B38" s="4">
        <v>16</v>
      </c>
      <c r="C38" s="4">
        <v>224</v>
      </c>
      <c r="D38" s="4">
        <f>AVERAGE(31,26.3,17.2,20.1)</f>
        <v>23.65</v>
      </c>
    </row>
    <row r="39" spans="1:4" x14ac:dyDescent="0.25">
      <c r="A39" s="4" t="s">
        <v>34</v>
      </c>
      <c r="B39" s="4">
        <v>16</v>
      </c>
      <c r="C39" s="4">
        <v>238</v>
      </c>
      <c r="D39" s="4">
        <f>AVERAGE(12,10.2,13.3,26.7)</f>
        <v>15.55</v>
      </c>
    </row>
    <row r="40" spans="1:4" x14ac:dyDescent="0.25">
      <c r="A40" s="4" t="s">
        <v>35</v>
      </c>
      <c r="B40" s="4">
        <v>15</v>
      </c>
      <c r="C40" s="4">
        <v>242</v>
      </c>
      <c r="D40" s="4">
        <f>AVERAGE(27.4,6.6,8,7.9)</f>
        <v>12.475</v>
      </c>
    </row>
    <row r="41" spans="1:4" x14ac:dyDescent="0.25">
      <c r="A41" s="4" t="s">
        <v>36</v>
      </c>
      <c r="B41" s="4">
        <v>13</v>
      </c>
      <c r="C41" s="4">
        <v>230</v>
      </c>
      <c r="D41" s="4">
        <f>AVERAGE(21.2,27.2,41,0)</f>
        <v>22.35</v>
      </c>
    </row>
    <row r="42" spans="1:4" x14ac:dyDescent="0.25">
      <c r="A42" s="4" t="s">
        <v>37</v>
      </c>
      <c r="B42" s="4">
        <v>15</v>
      </c>
      <c r="C42" s="4">
        <v>230</v>
      </c>
      <c r="D42" s="4">
        <f>AVERAGE(7.6,19.4,33,23.5)</f>
        <v>20.875</v>
      </c>
    </row>
    <row r="43" spans="1:4" x14ac:dyDescent="0.25">
      <c r="A43" s="4" t="s">
        <v>38</v>
      </c>
      <c r="B43" s="4">
        <v>15</v>
      </c>
      <c r="C43" s="4">
        <v>254</v>
      </c>
      <c r="D43" s="4">
        <f>AVERAGE(18.7,18.5,17,19)</f>
        <v>18.3</v>
      </c>
    </row>
    <row r="44" spans="1:4" x14ac:dyDescent="0.25">
      <c r="A44" s="4" t="s">
        <v>39</v>
      </c>
      <c r="B44" s="4">
        <v>20</v>
      </c>
      <c r="C44" s="4">
        <v>222</v>
      </c>
      <c r="D44" s="4">
        <f>AVERAGE(24.2,22.8,14.6,8.5)</f>
        <v>17.524999999999999</v>
      </c>
    </row>
    <row r="45" spans="1:4" x14ac:dyDescent="0.25">
      <c r="A45" s="4" t="s">
        <v>40</v>
      </c>
      <c r="B45" s="4">
        <v>17</v>
      </c>
      <c r="C45" s="4">
        <v>236</v>
      </c>
      <c r="D45" s="4">
        <f>AVERAGE(9.6,12.5,10,17.6)</f>
        <v>12.425000000000001</v>
      </c>
    </row>
    <row r="46" spans="1:4" x14ac:dyDescent="0.25">
      <c r="A46" s="4" t="s">
        <v>41</v>
      </c>
      <c r="B46" s="4">
        <v>13</v>
      </c>
      <c r="C46" s="4">
        <v>246</v>
      </c>
      <c r="D46" s="4">
        <f>AVERAGE(30.5,16.8,16.5,19.1)</f>
        <v>20.725000000000001</v>
      </c>
    </row>
    <row r="47" spans="1:4" x14ac:dyDescent="0.25">
      <c r="A47" s="4" t="s">
        <v>42</v>
      </c>
      <c r="B47" s="4">
        <v>17</v>
      </c>
      <c r="C47" s="4">
        <v>242</v>
      </c>
      <c r="D47" s="4">
        <f>AVERAGE(19.6,18.4,20.2,13.9)</f>
        <v>18.025000000000002</v>
      </c>
    </row>
    <row r="48" spans="1:4" x14ac:dyDescent="0.25">
      <c r="A48" s="4" t="s">
        <v>43</v>
      </c>
      <c r="B48" s="4">
        <v>12</v>
      </c>
      <c r="C48" s="4">
        <v>318</v>
      </c>
      <c r="D48" s="4">
        <f>AVERAGE(16,17.5,17.2,20.2)</f>
        <v>17.725000000000001</v>
      </c>
    </row>
    <row r="49" spans="1:4" x14ac:dyDescent="0.25">
      <c r="A49" s="4" t="s">
        <v>44</v>
      </c>
      <c r="B49" s="4">
        <v>15</v>
      </c>
      <c r="C49" s="4">
        <v>350</v>
      </c>
      <c r="D49" s="4">
        <f>AVERAGE(25.3,15.7,16.5,22)</f>
        <v>19.875</v>
      </c>
    </row>
    <row r="50" spans="1:4" x14ac:dyDescent="0.25">
      <c r="A50" s="4" t="s">
        <v>45</v>
      </c>
      <c r="B50" s="4">
        <v>14</v>
      </c>
      <c r="C50" s="4">
        <v>350</v>
      </c>
      <c r="D50" s="4">
        <f>AVERAGE(9,8.3,0,20)</f>
        <v>9.3249999999999993</v>
      </c>
    </row>
    <row r="51" spans="1:4" x14ac:dyDescent="0.25">
      <c r="A51" s="4" t="s">
        <v>46</v>
      </c>
      <c r="B51" s="4">
        <v>8</v>
      </c>
      <c r="C51" s="4">
        <v>320</v>
      </c>
      <c r="D51" s="4">
        <f>AVERAGE(31,23.6,21.4,9.6)</f>
        <v>21.4</v>
      </c>
    </row>
    <row r="52" spans="1:4" x14ac:dyDescent="0.25">
      <c r="A52" s="4" t="s">
        <v>47</v>
      </c>
      <c r="B52" s="4">
        <v>8</v>
      </c>
      <c r="C52" s="4">
        <v>310</v>
      </c>
      <c r="D52" s="4">
        <f>AVERAGE(34,11.7,20,15.7)</f>
        <v>20.350000000000001</v>
      </c>
    </row>
    <row r="53" spans="1:4" x14ac:dyDescent="0.25">
      <c r="A53" s="4" t="s">
        <v>48</v>
      </c>
      <c r="B53" s="4">
        <v>10</v>
      </c>
      <c r="C53" s="4">
        <v>270</v>
      </c>
      <c r="D53" s="4">
        <f>AVERAGE(0,21.1,0,10)</f>
        <v>7.7750000000000004</v>
      </c>
    </row>
    <row r="54" spans="1:4" x14ac:dyDescent="0.25">
      <c r="A54" s="4" t="s">
        <v>49</v>
      </c>
      <c r="B54" s="4">
        <v>11</v>
      </c>
      <c r="C54" s="4">
        <v>290</v>
      </c>
      <c r="D54" s="4">
        <f>AVERAGE(8.5,28.3,0,14.1)</f>
        <v>12.725</v>
      </c>
    </row>
    <row r="55" spans="1:4" x14ac:dyDescent="0.25">
      <c r="A55" s="4" t="s">
        <v>50</v>
      </c>
      <c r="B55" s="4">
        <v>10</v>
      </c>
      <c r="C55" s="4">
        <v>260</v>
      </c>
      <c r="D55" s="4">
        <f>AVERAGE(21.6,10.5,24,25.5)</f>
        <v>20.399999999999999</v>
      </c>
    </row>
    <row r="56" spans="1:4" x14ac:dyDescent="0.25">
      <c r="A56" s="4" t="s">
        <v>51</v>
      </c>
      <c r="B56" s="4">
        <v>10</v>
      </c>
      <c r="C56" s="4">
        <v>270</v>
      </c>
      <c r="D56" s="4">
        <f>AVERAGE(12,10,24,16.7)</f>
        <v>15.675000000000001</v>
      </c>
    </row>
    <row r="57" spans="1:4" x14ac:dyDescent="0.25">
      <c r="A57" s="4" t="s">
        <v>52</v>
      </c>
      <c r="B57" s="4">
        <v>13</v>
      </c>
      <c r="C57" s="4">
        <v>238</v>
      </c>
      <c r="D57" s="4">
        <f>AVERAGE(19.4,15.6,12.6,25.5)</f>
        <v>18.274999999999999</v>
      </c>
    </row>
    <row r="58" spans="1:4" x14ac:dyDescent="0.25">
      <c r="A58" s="4" t="s">
        <v>53</v>
      </c>
      <c r="B58" s="4">
        <v>13</v>
      </c>
      <c r="C58" s="4">
        <v>248</v>
      </c>
      <c r="D58" s="4">
        <f>AVERAGE(18.7,24.6,22.1,18.3)</f>
        <v>20.925000000000001</v>
      </c>
    </row>
    <row r="59" spans="1:4" x14ac:dyDescent="0.25">
      <c r="A59" s="4" t="s">
        <v>54</v>
      </c>
      <c r="B59" s="4">
        <v>13</v>
      </c>
      <c r="C59" s="4">
        <v>240</v>
      </c>
      <c r="D59" s="4">
        <f>AVERAGE(23.9,28.6,7,290)</f>
        <v>87.375</v>
      </c>
    </row>
    <row r="60" spans="1:4" x14ac:dyDescent="0.25">
      <c r="A60" s="4" t="s">
        <v>55</v>
      </c>
      <c r="B60" s="4">
        <v>14</v>
      </c>
      <c r="C60" s="4">
        <v>246</v>
      </c>
      <c r="D60" s="4">
        <f>AVERAGE(17.1,25.7,18,28.8)</f>
        <v>22.4</v>
      </c>
    </row>
    <row r="61" spans="1:4" x14ac:dyDescent="0.25">
      <c r="A61" s="4" t="s">
        <v>56</v>
      </c>
      <c r="B61" s="4">
        <v>18</v>
      </c>
      <c r="C61" s="4">
        <v>260</v>
      </c>
      <c r="D61" s="4">
        <f>AVERAGE(11.1,10,20.5,22.3)</f>
        <v>15.975000000000001</v>
      </c>
    </row>
    <row r="62" spans="1:4" x14ac:dyDescent="0.25">
      <c r="A62" s="4" t="s">
        <v>57</v>
      </c>
      <c r="B62" s="4">
        <v>15</v>
      </c>
      <c r="C62" s="4">
        <v>250</v>
      </c>
      <c r="D62" s="4">
        <f>AVERAGE(22.9,25,34,23.6)</f>
        <v>26.375</v>
      </c>
    </row>
    <row r="63" spans="1:4" x14ac:dyDescent="0.25">
      <c r="A63" s="4" t="s">
        <v>58</v>
      </c>
      <c r="B63" s="4">
        <v>14</v>
      </c>
      <c r="C63" s="4">
        <v>252</v>
      </c>
      <c r="D63" s="4">
        <f>AVERAGE(27.1,9.5,16.4,12)</f>
        <v>16.25</v>
      </c>
    </row>
    <row r="64" spans="1:4" x14ac:dyDescent="0.25">
      <c r="A64" s="4" t="s">
        <v>59</v>
      </c>
      <c r="B64" s="4">
        <v>13</v>
      </c>
      <c r="C64" s="4">
        <v>238</v>
      </c>
      <c r="D64" s="4">
        <f>AVERAGE(19.3,24,0,13.6)</f>
        <v>14.225</v>
      </c>
    </row>
    <row r="65" spans="1:4" x14ac:dyDescent="0.25">
      <c r="A65" s="4" t="s">
        <v>60</v>
      </c>
      <c r="B65" s="4">
        <v>13</v>
      </c>
      <c r="C65" s="4">
        <v>238</v>
      </c>
      <c r="D65" s="4">
        <f>AVERAGE(13.3,26.6,24.5,19.7)</f>
        <v>21.025000000000002</v>
      </c>
    </row>
    <row r="66" spans="1:4" x14ac:dyDescent="0.25">
      <c r="A66" s="4" t="s">
        <v>61</v>
      </c>
      <c r="B66" s="4">
        <v>14</v>
      </c>
      <c r="C66" s="4">
        <v>244</v>
      </c>
      <c r="D66" s="4">
        <f>AVERAGE(26,15,23.5,28.3)</f>
        <v>23.2</v>
      </c>
    </row>
    <row r="67" spans="1:4" x14ac:dyDescent="0.25">
      <c r="A67" s="4" t="s">
        <v>62</v>
      </c>
      <c r="B67" s="4">
        <v>13</v>
      </c>
      <c r="C67" s="4">
        <v>242</v>
      </c>
      <c r="D67" s="4">
        <f>AVERAGE(27.3,23.6,18.5,17)</f>
        <v>21.6</v>
      </c>
    </row>
    <row r="68" spans="1:4" x14ac:dyDescent="0.25">
      <c r="A68" s="4" t="s">
        <v>63</v>
      </c>
      <c r="B68" s="4">
        <v>13</v>
      </c>
      <c r="C68" s="4">
        <v>252</v>
      </c>
      <c r="D68" s="4">
        <f>AVERAGE(17,19.5,9.3,16.3)</f>
        <v>15.524999999999999</v>
      </c>
    </row>
    <row r="69" spans="1:4" x14ac:dyDescent="0.25">
      <c r="A69" s="4" t="s">
        <v>64</v>
      </c>
      <c r="B69" s="4">
        <v>13</v>
      </c>
      <c r="C69" s="4">
        <v>250</v>
      </c>
      <c r="D69" s="4">
        <f>AVERAGE(0,16.5,15.7,13)</f>
        <v>11.3</v>
      </c>
    </row>
    <row r="70" spans="1:4" x14ac:dyDescent="0.25">
      <c r="A70" s="4" t="s">
        <v>65</v>
      </c>
      <c r="B70" s="4">
        <v>15</v>
      </c>
      <c r="C70" s="4">
        <v>240</v>
      </c>
      <c r="D70" s="4">
        <f>AVERAGE(20.3,15.6,14.4,18.3)</f>
        <v>17.149999999999999</v>
      </c>
    </row>
    <row r="71" spans="1:4" x14ac:dyDescent="0.25">
      <c r="A71" s="4" t="s">
        <v>66</v>
      </c>
      <c r="B71" s="4">
        <v>18</v>
      </c>
      <c r="C71" s="4">
        <v>232</v>
      </c>
      <c r="D71" s="4">
        <f>AVERAGE(13.5,20.9,9.7,16.5)</f>
        <v>15.149999999999999</v>
      </c>
    </row>
    <row r="72" spans="1:4" x14ac:dyDescent="0.25">
      <c r="A72" s="4" t="s">
        <v>67</v>
      </c>
      <c r="B72" s="4">
        <v>14</v>
      </c>
      <c r="C72" s="4">
        <v>238</v>
      </c>
      <c r="D72" s="4">
        <f>AVERAGE(16.6,14.7,22.3,19.3)</f>
        <v>18.225000000000001</v>
      </c>
    </row>
    <row r="73" spans="1:4" x14ac:dyDescent="0.25">
      <c r="A73" s="4" t="s">
        <v>68</v>
      </c>
      <c r="B73" s="4">
        <v>2</v>
      </c>
      <c r="C73" s="4">
        <v>40</v>
      </c>
      <c r="D73" s="4">
        <f>AVERAGE(47.3,17,22.2,31.3)</f>
        <v>29.45</v>
      </c>
    </row>
    <row r="74" spans="1:4" x14ac:dyDescent="0.25">
      <c r="A74" s="4" t="s">
        <v>69</v>
      </c>
      <c r="B74" s="4">
        <v>5</v>
      </c>
      <c r="C74" s="4">
        <v>40</v>
      </c>
      <c r="D74" s="4">
        <f>AVERAGE(10.1,11.2,9.5,24.5)</f>
        <v>13.824999999999999</v>
      </c>
    </row>
    <row r="75" spans="1:4" x14ac:dyDescent="0.25">
      <c r="A75" s="4" t="s">
        <v>70</v>
      </c>
      <c r="B75" s="4">
        <v>9</v>
      </c>
      <c r="C75" s="4">
        <v>40</v>
      </c>
      <c r="D75" s="4">
        <f>AVERAGE(11.6,22.2,10,18.2)</f>
        <v>15.5</v>
      </c>
    </row>
    <row r="76" spans="1:4" x14ac:dyDescent="0.25">
      <c r="A76" s="4" t="s">
        <v>71</v>
      </c>
      <c r="B76" s="4">
        <v>11</v>
      </c>
      <c r="C76" s="4">
        <v>40</v>
      </c>
      <c r="D76" s="4">
        <f>AVERAGE(20.2,16.8,9,41)</f>
        <v>21.75</v>
      </c>
    </row>
    <row r="77" spans="1:4" x14ac:dyDescent="0.25">
      <c r="A77" s="4" t="s">
        <v>72</v>
      </c>
      <c r="B77" s="4">
        <v>11</v>
      </c>
      <c r="C77" s="4">
        <v>40</v>
      </c>
      <c r="D77" s="4">
        <f>AVERAGE(29.1,20.4,5.1,7)</f>
        <v>15.4</v>
      </c>
    </row>
    <row r="78" spans="1:4" x14ac:dyDescent="0.25">
      <c r="A78" s="4" t="s">
        <v>73</v>
      </c>
      <c r="B78" s="4">
        <v>13</v>
      </c>
      <c r="C78" s="4">
        <v>40</v>
      </c>
      <c r="D78" s="4">
        <f>AVERAGE(12.2,12.7,10.9,10.2)</f>
        <v>11.5</v>
      </c>
    </row>
    <row r="79" spans="1:4" x14ac:dyDescent="0.25">
      <c r="A79" s="4" t="s">
        <v>74</v>
      </c>
      <c r="B79" s="4">
        <v>12</v>
      </c>
      <c r="C79" s="4">
        <v>40</v>
      </c>
      <c r="D79" s="4">
        <f>AVERAGE(19,12.7,27.6,19.6)</f>
        <v>19.725000000000001</v>
      </c>
    </row>
    <row r="80" spans="1:4" x14ac:dyDescent="0.25">
      <c r="A80" s="4" t="s">
        <v>75</v>
      </c>
      <c r="B80" s="4">
        <v>14</v>
      </c>
      <c r="C80" s="4">
        <v>40</v>
      </c>
      <c r="D80" s="4">
        <f>AVERAGE(19.6,18.6,12.5,8.7)</f>
        <v>14.850000000000001</v>
      </c>
    </row>
    <row r="81" spans="1:4" x14ac:dyDescent="0.25">
      <c r="A81" s="4" t="s">
        <v>76</v>
      </c>
      <c r="B81" s="4">
        <v>11</v>
      </c>
      <c r="C81" s="4">
        <v>40</v>
      </c>
      <c r="D81" s="4">
        <f>AVERAGE(12.5,28.5,11.3,0)</f>
        <v>13.074999999999999</v>
      </c>
    </row>
    <row r="82" spans="1:4" x14ac:dyDescent="0.25">
      <c r="A82" s="4" t="s">
        <v>77</v>
      </c>
      <c r="B82" s="4">
        <v>11</v>
      </c>
      <c r="C82" s="4">
        <v>40</v>
      </c>
      <c r="D82" s="4">
        <f>AVERAGE(30,21.5,7.5,17.4)</f>
        <v>19.100000000000001</v>
      </c>
    </row>
    <row r="83" spans="1:4" x14ac:dyDescent="0.25">
      <c r="A83" s="4" t="s">
        <v>78</v>
      </c>
      <c r="B83" s="4">
        <v>12</v>
      </c>
      <c r="C83" s="4">
        <v>40</v>
      </c>
      <c r="D83" s="4">
        <f>AVERAGE(15.5,15.9,20,17.5)</f>
        <v>17.225000000000001</v>
      </c>
    </row>
    <row r="84" spans="1:4" x14ac:dyDescent="0.25">
      <c r="A84" s="4" t="s">
        <v>79</v>
      </c>
      <c r="B84" s="4">
        <v>13</v>
      </c>
      <c r="C84" s="4">
        <v>40</v>
      </c>
      <c r="D84" s="4">
        <f>AVERAGE(19.2,25.7,30.6,20.5)</f>
        <v>24</v>
      </c>
    </row>
    <row r="85" spans="1:4" x14ac:dyDescent="0.25">
      <c r="A85" s="4" t="s">
        <v>80</v>
      </c>
      <c r="B85" s="4">
        <v>12</v>
      </c>
      <c r="C85" s="4">
        <v>40</v>
      </c>
      <c r="D85" s="4">
        <f>AVERAGE(8.3,16.5,14.5,9.6)</f>
        <v>12.225</v>
      </c>
    </row>
    <row r="86" spans="1:4" x14ac:dyDescent="0.25">
      <c r="A86" s="4" t="s">
        <v>81</v>
      </c>
      <c r="B86" s="4">
        <v>12</v>
      </c>
      <c r="C86" s="4">
        <v>40</v>
      </c>
      <c r="D86" s="4">
        <f>AVERAGE(10.2,8.6,11.8,17)</f>
        <v>11.899999999999999</v>
      </c>
    </row>
    <row r="87" spans="1:4" x14ac:dyDescent="0.25">
      <c r="A87" s="4" t="s">
        <v>82</v>
      </c>
      <c r="B87" s="4">
        <v>14</v>
      </c>
      <c r="C87" s="4">
        <v>40</v>
      </c>
      <c r="D87" s="4">
        <f>AVERAGE(13.1,9,11.2,17.2)</f>
        <v>12.625</v>
      </c>
    </row>
    <row r="88" spans="1:4" x14ac:dyDescent="0.25">
      <c r="A88" s="4" t="s">
        <v>83</v>
      </c>
      <c r="B88" s="4">
        <v>15</v>
      </c>
      <c r="C88" s="4">
        <v>40</v>
      </c>
      <c r="D88" s="4">
        <f>AVERAGE(14.5,20,0,15)</f>
        <v>12.375</v>
      </c>
    </row>
    <row r="89" spans="1:4" x14ac:dyDescent="0.25">
      <c r="A89" s="4" t="s">
        <v>84</v>
      </c>
      <c r="B89" s="4">
        <v>15</v>
      </c>
      <c r="C89" s="4">
        <v>40</v>
      </c>
      <c r="D89" s="4">
        <f>AVERAGE(12,6.5,18.5,17.1)</f>
        <v>13.525</v>
      </c>
    </row>
    <row r="90" spans="1:4" x14ac:dyDescent="0.25">
      <c r="A90" s="4" t="s">
        <v>85</v>
      </c>
      <c r="B90" s="4">
        <v>16</v>
      </c>
      <c r="C90" s="4">
        <v>40</v>
      </c>
      <c r="D90" s="4">
        <f>AVERAGE(14,22.2,15.9,13.2)</f>
        <v>16.324999999999999</v>
      </c>
    </row>
    <row r="91" spans="1:4" x14ac:dyDescent="0.25">
      <c r="A91" s="4" t="s">
        <v>86</v>
      </c>
      <c r="B91" s="4">
        <v>15</v>
      </c>
      <c r="C91" s="4">
        <v>40</v>
      </c>
      <c r="D91" s="4">
        <f>AVERAGE(8.3,12.6,32,20.1)</f>
        <v>18.25</v>
      </c>
    </row>
    <row r="92" spans="1:4" x14ac:dyDescent="0.25">
      <c r="A92" s="4" t="s">
        <v>87</v>
      </c>
      <c r="B92" s="4">
        <v>5</v>
      </c>
      <c r="C92" s="4">
        <v>220</v>
      </c>
      <c r="D92" s="4">
        <f>AVERAGE(16.5,41.8,18.2,0)</f>
        <v>19.125</v>
      </c>
    </row>
    <row r="93" spans="1:4" x14ac:dyDescent="0.25">
      <c r="A93" s="4" t="s">
        <v>88</v>
      </c>
      <c r="B93" s="4">
        <v>9</v>
      </c>
      <c r="C93" s="4">
        <v>250</v>
      </c>
      <c r="D93" s="4">
        <f>AVERAGE(9.5,10.4,20.7,13.1)</f>
        <v>13.424999999999999</v>
      </c>
    </row>
    <row r="94" spans="1:4" x14ac:dyDescent="0.25">
      <c r="A94" s="4" t="s">
        <v>89</v>
      </c>
      <c r="B94" s="4">
        <v>11</v>
      </c>
      <c r="C94" s="4">
        <v>242</v>
      </c>
      <c r="D94" s="4">
        <f>AVERAGE(8.4,27.2,17.4,21)</f>
        <v>18.5</v>
      </c>
    </row>
    <row r="95" spans="1:4" x14ac:dyDescent="0.25">
      <c r="A95" s="4" t="s">
        <v>90</v>
      </c>
      <c r="B95" s="4">
        <v>10</v>
      </c>
      <c r="C95" s="4">
        <v>242</v>
      </c>
      <c r="D95" s="4">
        <f>AVERAGE(22.7,8.5,25,25.5)</f>
        <v>20.425000000000001</v>
      </c>
    </row>
    <row r="96" spans="1:4" x14ac:dyDescent="0.25">
      <c r="A96" s="4" t="s">
        <v>91</v>
      </c>
      <c r="B96" s="4">
        <v>14</v>
      </c>
      <c r="C96" s="4">
        <v>242</v>
      </c>
      <c r="D96" s="4">
        <f>AVERAGE(23.5,10,9.5,12.5)</f>
        <v>13.875</v>
      </c>
    </row>
    <row r="97" spans="1:4" x14ac:dyDescent="0.25">
      <c r="A97" s="4" t="s">
        <v>92</v>
      </c>
      <c r="B97" s="4">
        <v>14</v>
      </c>
      <c r="C97" s="4">
        <v>240</v>
      </c>
      <c r="D97" s="4">
        <f>AVERAGE(27.8,41,35,14.5)</f>
        <v>29.574999999999999</v>
      </c>
    </row>
    <row r="98" spans="1:4" x14ac:dyDescent="0.25">
      <c r="A98" s="4" t="s">
        <v>93</v>
      </c>
      <c r="B98" s="4">
        <v>10</v>
      </c>
      <c r="C98" s="4">
        <v>252</v>
      </c>
      <c r="D98" s="4">
        <f>AVERAGE(15.7,20.3,30.3,11.2)</f>
        <v>19.375</v>
      </c>
    </row>
    <row r="99" spans="1:4" x14ac:dyDescent="0.25">
      <c r="A99" s="4" t="s">
        <v>94</v>
      </c>
      <c r="B99" s="4">
        <v>12</v>
      </c>
      <c r="C99" s="4">
        <v>248</v>
      </c>
      <c r="D99" s="4">
        <f>AVERAGE(5,15.5,19.4,14.1)</f>
        <v>13.5</v>
      </c>
    </row>
    <row r="100" spans="1:4" x14ac:dyDescent="0.25">
      <c r="A100" s="4" t="s">
        <v>95</v>
      </c>
      <c r="B100" s="4">
        <v>12</v>
      </c>
      <c r="C100" s="4">
        <v>244</v>
      </c>
      <c r="D100" s="4">
        <f>AVERAGE(12.5,0,25.1,13.5)</f>
        <v>12.775</v>
      </c>
    </row>
    <row r="101" spans="1:4" x14ac:dyDescent="0.25">
      <c r="A101" s="4" t="s">
        <v>96</v>
      </c>
      <c r="B101" s="4">
        <v>14</v>
      </c>
      <c r="C101" s="4">
        <v>230</v>
      </c>
      <c r="D101" s="4">
        <f>AVERAGE(13.9,17.1,18.3,20.8)</f>
        <v>17.524999999999999</v>
      </c>
    </row>
    <row r="102" spans="1:4" x14ac:dyDescent="0.25">
      <c r="A102" s="4" t="s">
        <v>97</v>
      </c>
      <c r="B102" s="4">
        <v>15</v>
      </c>
      <c r="C102" s="4">
        <v>220</v>
      </c>
      <c r="D102" s="4">
        <f>AVERAGE(23.3,29.5,29.9,0)</f>
        <v>20.674999999999997</v>
      </c>
    </row>
    <row r="103" spans="1:4" x14ac:dyDescent="0.25">
      <c r="A103" s="4" t="s">
        <v>98</v>
      </c>
      <c r="B103" s="4">
        <v>15</v>
      </c>
      <c r="C103" s="4">
        <v>220</v>
      </c>
      <c r="D103" s="4">
        <f>AVERAGE(12.1,0,33,25.2)</f>
        <v>17.574999999999999</v>
      </c>
    </row>
    <row r="104" spans="1:4" x14ac:dyDescent="0.25">
      <c r="A104" s="4" t="s">
        <v>99</v>
      </c>
      <c r="B104" s="4">
        <v>20</v>
      </c>
      <c r="C104" s="4">
        <v>220</v>
      </c>
      <c r="D104" s="4">
        <f>AVERAGE(16.9,19.2,24.2,20.7)</f>
        <v>20.25</v>
      </c>
    </row>
    <row r="105" spans="1:4" x14ac:dyDescent="0.25">
      <c r="A105" s="4" t="s">
        <v>100</v>
      </c>
      <c r="B105" s="4">
        <v>8</v>
      </c>
      <c r="C105" s="4">
        <v>52</v>
      </c>
      <c r="D105" s="4">
        <f>AVERAGE(7.5,29.2,42,19.8)</f>
        <v>24.625</v>
      </c>
    </row>
    <row r="106" spans="1:4" x14ac:dyDescent="0.25">
      <c r="A106" s="4" t="s">
        <v>101</v>
      </c>
      <c r="B106" s="4">
        <v>11</v>
      </c>
      <c r="C106" s="4">
        <v>48</v>
      </c>
      <c r="D106" s="4">
        <f>AVERAGE(20.4,39,48,16.2)</f>
        <v>30.900000000000002</v>
      </c>
    </row>
    <row r="107" spans="1:4" x14ac:dyDescent="0.25">
      <c r="A107" s="4" t="s">
        <v>102</v>
      </c>
      <c r="B107" s="4">
        <v>11</v>
      </c>
      <c r="C107" s="4">
        <v>52</v>
      </c>
      <c r="D107" s="4">
        <f>AVERAGE(23.5,29,14.8,26.7)</f>
        <v>23.5</v>
      </c>
    </row>
    <row r="108" spans="1:4" x14ac:dyDescent="0.25">
      <c r="A108" s="4" t="s">
        <v>103</v>
      </c>
      <c r="B108" s="4">
        <v>12</v>
      </c>
      <c r="C108" s="4">
        <v>38</v>
      </c>
      <c r="D108" s="4">
        <f>AVERAGE(23,17.5,42,22)</f>
        <v>26.125</v>
      </c>
    </row>
    <row r="109" spans="1:4" x14ac:dyDescent="0.25">
      <c r="A109" s="4" t="s">
        <v>104</v>
      </c>
      <c r="B109" s="4">
        <v>12</v>
      </c>
      <c r="C109" s="4">
        <v>56</v>
      </c>
      <c r="D109" s="4">
        <f>AVERAGE(7.1,20.5,30.2,46)</f>
        <v>25.95</v>
      </c>
    </row>
    <row r="110" spans="1:4" x14ac:dyDescent="0.25">
      <c r="A110" s="4" t="s">
        <v>105</v>
      </c>
      <c r="B110" s="4">
        <v>12</v>
      </c>
      <c r="C110" s="4">
        <v>50</v>
      </c>
      <c r="D110" s="4">
        <f>AVERAGE(19.5,30.1,19.1,31)</f>
        <v>24.925000000000001</v>
      </c>
    </row>
    <row r="111" spans="1:4" x14ac:dyDescent="0.25">
      <c r="A111" s="4" t="s">
        <v>106</v>
      </c>
      <c r="B111" s="4">
        <v>13</v>
      </c>
      <c r="C111" s="4">
        <v>38</v>
      </c>
      <c r="D111" s="4">
        <f>AVERAGE(18.7,12.1,21.2,25)</f>
        <v>19.25</v>
      </c>
    </row>
    <row r="112" spans="1:4" x14ac:dyDescent="0.25">
      <c r="A112" s="4" t="s">
        <v>107</v>
      </c>
      <c r="B112" s="4">
        <v>12</v>
      </c>
      <c r="C112" s="4">
        <v>46</v>
      </c>
      <c r="D112" s="4">
        <f>AVERAGE(30.5,25.1,23.1,31)</f>
        <v>27.425000000000001</v>
      </c>
    </row>
    <row r="113" spans="1:4" x14ac:dyDescent="0.25">
      <c r="A113" s="4" t="s">
        <v>108</v>
      </c>
      <c r="B113" s="4">
        <v>14</v>
      </c>
      <c r="C113" s="4">
        <v>40</v>
      </c>
      <c r="D113" s="4">
        <f>AVERAGE(11.2,25.3,19.3,16.8)</f>
        <v>18.149999999999999</v>
      </c>
    </row>
    <row r="114" spans="1:4" x14ac:dyDescent="0.25">
      <c r="A114" s="4" t="s">
        <v>109</v>
      </c>
      <c r="B114" s="4">
        <v>13</v>
      </c>
      <c r="C114" s="4">
        <v>40</v>
      </c>
      <c r="D114" s="4">
        <f>AVERAGE(26.5,13.4,22.7,22.1)</f>
        <v>21.174999999999997</v>
      </c>
    </row>
    <row r="115" spans="1:4" x14ac:dyDescent="0.25">
      <c r="A115" s="4" t="s">
        <v>110</v>
      </c>
      <c r="B115" s="4">
        <v>12</v>
      </c>
      <c r="C115" s="4">
        <v>38</v>
      </c>
      <c r="D115" s="4">
        <f>AVERAGE(24.6,35,22.1,14.1)</f>
        <v>23.95</v>
      </c>
    </row>
    <row r="116" spans="1:4" x14ac:dyDescent="0.25">
      <c r="A116" s="4" t="s">
        <v>111</v>
      </c>
      <c r="B116" s="4">
        <v>15</v>
      </c>
      <c r="C116" s="4">
        <v>38</v>
      </c>
      <c r="D116" s="4">
        <f>AVERAGE(34,33,22,35)</f>
        <v>31</v>
      </c>
    </row>
    <row r="117" spans="1:4" x14ac:dyDescent="0.25">
      <c r="A117" s="4" t="s">
        <v>112</v>
      </c>
      <c r="B117" s="4">
        <v>16</v>
      </c>
      <c r="C117" s="4">
        <v>28</v>
      </c>
      <c r="D117" s="4">
        <f>AVERAGE(19.2,28,22.9,22.3)</f>
        <v>23.099999999999998</v>
      </c>
    </row>
    <row r="118" spans="1:4" x14ac:dyDescent="0.25">
      <c r="A118" s="4" t="s">
        <v>113</v>
      </c>
      <c r="B118" s="4">
        <v>13</v>
      </c>
      <c r="C118" s="4">
        <v>38</v>
      </c>
      <c r="D118" s="4">
        <f>AVERAGE(40,43,20,26)</f>
        <v>32.25</v>
      </c>
    </row>
    <row r="119" spans="1:4" x14ac:dyDescent="0.25">
      <c r="A119" s="4" t="s">
        <v>114</v>
      </c>
      <c r="B119" s="4">
        <v>8</v>
      </c>
      <c r="C119" s="4">
        <v>50</v>
      </c>
      <c r="D119" s="4">
        <f>AVERAGE(20,29.1,19,28)</f>
        <v>24.024999999999999</v>
      </c>
    </row>
    <row r="120" spans="1:4" x14ac:dyDescent="0.25">
      <c r="A120" s="4" t="s">
        <v>115</v>
      </c>
      <c r="B120" s="4">
        <v>8</v>
      </c>
      <c r="C120" s="4">
        <v>62</v>
      </c>
      <c r="D120" s="4">
        <f>AVERAGE(26.5,40,33,18.1)</f>
        <v>29.4</v>
      </c>
    </row>
    <row r="121" spans="1:4" x14ac:dyDescent="0.25">
      <c r="A121" s="4" t="s">
        <v>116</v>
      </c>
      <c r="B121" s="4">
        <v>8</v>
      </c>
      <c r="C121" s="4">
        <v>121</v>
      </c>
      <c r="D121" s="4">
        <f>AVERAGE(22,31,19.6,23.3)</f>
        <v>23.974999999999998</v>
      </c>
    </row>
    <row r="122" spans="1:4" x14ac:dyDescent="0.25">
      <c r="A122" s="4" t="s">
        <v>118</v>
      </c>
      <c r="B122" s="4">
        <v>11</v>
      </c>
      <c r="C122" s="4">
        <v>132</v>
      </c>
      <c r="D122" s="4">
        <f>AVERAGE(30.6,23.2,14,18.6)</f>
        <v>21.6</v>
      </c>
    </row>
    <row r="123" spans="1:4" x14ac:dyDescent="0.25">
      <c r="A123" s="4" t="s">
        <v>119</v>
      </c>
      <c r="B123" s="4">
        <v>10</v>
      </c>
      <c r="C123" s="4">
        <v>188</v>
      </c>
      <c r="D123" s="4">
        <f>AVERAGE(33,26.5,31,14.5)</f>
        <v>26.25</v>
      </c>
    </row>
    <row r="124" spans="1:4" x14ac:dyDescent="0.25">
      <c r="A124" s="4" t="s">
        <v>120</v>
      </c>
      <c r="B124" s="4">
        <v>17</v>
      </c>
      <c r="C124" s="4">
        <v>212</v>
      </c>
      <c r="D124" s="4">
        <f>AVERAGE(21.9,17.6,28.5,19.5)</f>
        <v>21.875</v>
      </c>
    </row>
    <row r="125" spans="1:4" x14ac:dyDescent="0.25">
      <c r="A125" s="4" t="s">
        <v>121</v>
      </c>
      <c r="B125" s="4">
        <v>14</v>
      </c>
      <c r="C125" s="4">
        <v>202</v>
      </c>
      <c r="D125" s="4">
        <f>AVERAGE(17,26.5,24,25)</f>
        <v>23.125</v>
      </c>
    </row>
    <row r="126" spans="1:4" x14ac:dyDescent="0.25">
      <c r="A126" s="4" t="s">
        <v>122</v>
      </c>
      <c r="B126" s="4">
        <v>13</v>
      </c>
      <c r="C126" s="4">
        <v>200</v>
      </c>
      <c r="D126" s="4">
        <f>AVERAGE(13.7,13.7,12,14.6)</f>
        <v>13.5</v>
      </c>
    </row>
    <row r="127" spans="1:4" x14ac:dyDescent="0.25">
      <c r="A127" s="4" t="s">
        <v>123</v>
      </c>
      <c r="B127" s="4">
        <v>16</v>
      </c>
      <c r="C127" s="4">
        <v>166</v>
      </c>
      <c r="D127" s="4">
        <f>AVERAGE(23,25,26,26.4)</f>
        <v>25.1</v>
      </c>
    </row>
    <row r="128" spans="1:4" x14ac:dyDescent="0.25">
      <c r="A128" s="4" t="s">
        <v>124</v>
      </c>
      <c r="B128" s="4">
        <v>18</v>
      </c>
      <c r="C128" s="4">
        <v>208</v>
      </c>
      <c r="D128" s="4">
        <f>AVERAGE(17.2,24,19.1,25)</f>
        <v>21.325000000000003</v>
      </c>
    </row>
    <row r="129" spans="1:4" x14ac:dyDescent="0.25">
      <c r="A129" s="4" t="s">
        <v>125</v>
      </c>
      <c r="B129" s="4">
        <v>26</v>
      </c>
      <c r="C129" s="4">
        <v>172</v>
      </c>
      <c r="D129" s="4">
        <f>AVERAGE(52,22.1,25,37.1)</f>
        <v>34.049999999999997</v>
      </c>
    </row>
    <row r="130" spans="1:4" x14ac:dyDescent="0.25">
      <c r="A130" s="4" t="s">
        <v>126</v>
      </c>
      <c r="B130" s="4">
        <v>10</v>
      </c>
      <c r="C130" s="4">
        <v>144</v>
      </c>
      <c r="D130" s="4">
        <f>AVERAGE(15.2,51,32,22.3)</f>
        <v>30.125</v>
      </c>
    </row>
    <row r="131" spans="1:4" x14ac:dyDescent="0.25">
      <c r="A131" s="4" t="s">
        <v>127</v>
      </c>
      <c r="B131" s="4">
        <v>9</v>
      </c>
      <c r="C131" s="4">
        <v>160</v>
      </c>
      <c r="D131" s="4">
        <f>AVERAGE(15.2,29,30.2,31)</f>
        <v>26.35</v>
      </c>
    </row>
    <row r="132" spans="1:4" x14ac:dyDescent="0.25">
      <c r="A132" s="4" t="s">
        <v>128</v>
      </c>
      <c r="B132" s="4">
        <v>5</v>
      </c>
      <c r="C132" s="4">
        <v>96</v>
      </c>
      <c r="D132" s="4">
        <f>AVERAGE(31.2,40.1,23.2,33)</f>
        <v>31.875</v>
      </c>
    </row>
    <row r="133" spans="1:4" x14ac:dyDescent="0.25">
      <c r="A133" s="4" t="s">
        <v>129</v>
      </c>
      <c r="B133" s="4">
        <v>7</v>
      </c>
      <c r="C133" s="4">
        <v>112</v>
      </c>
      <c r="D133" s="4">
        <f>AVERAGE(30.2,28,35.3,17.1)</f>
        <v>27.65</v>
      </c>
    </row>
    <row r="134" spans="1:4" x14ac:dyDescent="0.25">
      <c r="A134" s="4" t="s">
        <v>130</v>
      </c>
      <c r="B134" s="4">
        <v>9</v>
      </c>
      <c r="C134" s="4">
        <v>130</v>
      </c>
      <c r="D134" s="4">
        <f>AVERAGE(44.2,42.1,33,43)</f>
        <v>40.575000000000003</v>
      </c>
    </row>
    <row r="135" spans="1:4" x14ac:dyDescent="0.25">
      <c r="A135" s="4" t="s">
        <v>131</v>
      </c>
      <c r="B135" s="4">
        <v>9</v>
      </c>
      <c r="C135" s="4">
        <v>108</v>
      </c>
      <c r="D135" s="4">
        <f>AVERAGE(35,30,40.2,15.2)</f>
        <v>30.1</v>
      </c>
    </row>
    <row r="136" spans="1:4" x14ac:dyDescent="0.25">
      <c r="A136" s="4" t="s">
        <v>132</v>
      </c>
      <c r="B136" s="4">
        <v>10</v>
      </c>
      <c r="C136" s="4">
        <v>80</v>
      </c>
      <c r="D136" s="4">
        <f>AVERAGE(30.4,35,22.2,52.2)</f>
        <v>34.950000000000003</v>
      </c>
    </row>
    <row r="137" spans="1:4" x14ac:dyDescent="0.25">
      <c r="A137" s="4" t="s">
        <v>133</v>
      </c>
      <c r="B137" s="4">
        <v>14</v>
      </c>
      <c r="C137" s="4">
        <v>96</v>
      </c>
      <c r="D137" s="4">
        <f>AVERAGE(28,40.4,30.2,48)</f>
        <v>36.650000000000006</v>
      </c>
    </row>
    <row r="138" spans="1:4" x14ac:dyDescent="0.25">
      <c r="A138" s="4" t="s">
        <v>134</v>
      </c>
      <c r="B138" s="4">
        <v>12</v>
      </c>
      <c r="C138" s="4">
        <v>108</v>
      </c>
      <c r="D138" s="4">
        <f>AVERAGE(29.1,20.2,43.3,41.4)</f>
        <v>33.5</v>
      </c>
    </row>
    <row r="139" spans="1:4" x14ac:dyDescent="0.25">
      <c r="A139" s="4" t="s">
        <v>135</v>
      </c>
      <c r="B139" s="4">
        <v>17</v>
      </c>
      <c r="C139" s="4">
        <v>66</v>
      </c>
      <c r="D139" s="4">
        <f>AVERAGE(36,26.4,32.1,32.2)</f>
        <v>31.675000000000001</v>
      </c>
    </row>
    <row r="140" spans="1:4" x14ac:dyDescent="0.25">
      <c r="A140" s="4" t="s">
        <v>136</v>
      </c>
      <c r="B140" s="4">
        <v>15</v>
      </c>
      <c r="C140" s="4">
        <v>74</v>
      </c>
      <c r="D140" s="4">
        <f>AVERAGE(32,48,15.3,25.5)</f>
        <v>30.2</v>
      </c>
    </row>
    <row r="141" spans="1:4" x14ac:dyDescent="0.25">
      <c r="A141" s="4" t="s">
        <v>137</v>
      </c>
      <c r="B141" s="4">
        <v>14</v>
      </c>
      <c r="C141" s="4">
        <v>84</v>
      </c>
      <c r="D141" s="4">
        <f>AVERAGE(25.1,33.2,29.2,27.4)</f>
        <v>28.725000000000001</v>
      </c>
    </row>
    <row r="142" spans="1:4" x14ac:dyDescent="0.25">
      <c r="A142" s="4" t="s">
        <v>138</v>
      </c>
      <c r="B142" s="4">
        <v>17</v>
      </c>
      <c r="C142" s="4">
        <v>25</v>
      </c>
      <c r="D142" s="4">
        <f>AVERAGE(27.9,25,23.9,41.2)</f>
        <v>29.5</v>
      </c>
    </row>
    <row r="143" spans="1:4" x14ac:dyDescent="0.25">
      <c r="A143" s="4" t="s">
        <v>139</v>
      </c>
      <c r="B143" s="4">
        <v>16</v>
      </c>
      <c r="C143" s="4">
        <v>54</v>
      </c>
      <c r="D143" s="4">
        <f>AVERAGE(23.1,17.5,34.2,22.4)</f>
        <v>24.300000000000004</v>
      </c>
    </row>
    <row r="144" spans="1:4" x14ac:dyDescent="0.25">
      <c r="A144" s="4" t="s">
        <v>140</v>
      </c>
      <c r="B144" s="4">
        <v>17</v>
      </c>
      <c r="C144" s="4">
        <v>64</v>
      </c>
      <c r="D144" s="4">
        <f>AVERAGE(28.7,32.1,24.6,30.1)</f>
        <v>28.875</v>
      </c>
    </row>
    <row r="145" spans="1:4" x14ac:dyDescent="0.25">
      <c r="A145" s="4" t="s">
        <v>141</v>
      </c>
      <c r="B145" s="4">
        <v>19</v>
      </c>
      <c r="C145" s="4">
        <v>66</v>
      </c>
      <c r="D145" s="4">
        <f>AVERAGE(18.4,48,48.6,30.4)</f>
        <v>36.35</v>
      </c>
    </row>
    <row r="146" spans="1:4" x14ac:dyDescent="0.25">
      <c r="A146" s="4" t="s">
        <v>142</v>
      </c>
      <c r="B146" s="4">
        <v>23</v>
      </c>
      <c r="C146" s="4">
        <v>64</v>
      </c>
      <c r="D146" s="4">
        <f>AVERAGE(30.1,44,39.6,25.9)</f>
        <v>34.9</v>
      </c>
    </row>
    <row r="147" spans="1:4" x14ac:dyDescent="0.25">
      <c r="A147" s="4" t="s">
        <v>143</v>
      </c>
      <c r="B147" s="4">
        <v>22</v>
      </c>
      <c r="C147" s="4">
        <v>78</v>
      </c>
      <c r="D147" s="4">
        <f>AVERAGE(34.8,22.2,31.4,51.2)</f>
        <v>34.900000000000006</v>
      </c>
    </row>
    <row r="148" spans="1:4" x14ac:dyDescent="0.25">
      <c r="A148" s="4" t="s">
        <v>144</v>
      </c>
      <c r="B148" s="4">
        <v>24</v>
      </c>
      <c r="C148" s="4">
        <v>52</v>
      </c>
      <c r="D148" s="4">
        <f>AVERAGE(29.3,33.1,35.6,34.8)</f>
        <v>33.200000000000003</v>
      </c>
    </row>
    <row r="149" spans="1:4" x14ac:dyDescent="0.25">
      <c r="A149" s="4" t="s">
        <v>146</v>
      </c>
      <c r="B149" s="4">
        <v>16</v>
      </c>
      <c r="C149" s="4">
        <v>208</v>
      </c>
      <c r="D149" s="4">
        <f>AVERAGE(16.1,16.2,16.3,18.1)</f>
        <v>16.674999999999997</v>
      </c>
    </row>
    <row r="150" spans="1:4" x14ac:dyDescent="0.25">
      <c r="A150" s="4" t="s">
        <v>147</v>
      </c>
      <c r="B150" s="4">
        <v>19</v>
      </c>
      <c r="C150" s="4">
        <v>208</v>
      </c>
      <c r="D150" s="4">
        <f>AVERAGE(31.8,17.7,29.6,35.4)</f>
        <v>28.625</v>
      </c>
    </row>
    <row r="151" spans="1:4" x14ac:dyDescent="0.25">
      <c r="A151" s="4" t="s">
        <v>148</v>
      </c>
      <c r="B151" s="4">
        <v>11</v>
      </c>
      <c r="C151" s="4">
        <v>96</v>
      </c>
      <c r="D151" s="4">
        <f>AVERAGE(12.1,37.4,36.2,33)</f>
        <v>29.675000000000001</v>
      </c>
    </row>
    <row r="152" spans="1:4" x14ac:dyDescent="0.25">
      <c r="A152" s="4" t="s">
        <v>149</v>
      </c>
      <c r="B152" s="4">
        <v>9</v>
      </c>
      <c r="C152" s="4">
        <v>90</v>
      </c>
      <c r="D152" s="4">
        <f>AVERAGE(30.6,17.3,16,14.1)</f>
        <v>19.5</v>
      </c>
    </row>
    <row r="153" spans="1:4" x14ac:dyDescent="0.25">
      <c r="A153" s="4" t="s">
        <v>150</v>
      </c>
      <c r="B153" s="4">
        <v>10</v>
      </c>
      <c r="C153" s="4">
        <v>90</v>
      </c>
      <c r="D153" s="4">
        <f>AVERAGE(39,26.1,15,19.4)</f>
        <v>24.875</v>
      </c>
    </row>
    <row r="154" spans="1:4" x14ac:dyDescent="0.25">
      <c r="A154" s="4" t="s">
        <v>151</v>
      </c>
      <c r="B154" s="4">
        <v>11</v>
      </c>
      <c r="C154" s="4">
        <v>66</v>
      </c>
      <c r="D154" s="4">
        <f>AVERAGE(14.8,28.5,14.8,31.8)</f>
        <v>22.474999999999998</v>
      </c>
    </row>
    <row r="155" spans="1:4" x14ac:dyDescent="0.25">
      <c r="A155" s="4" t="s">
        <v>152</v>
      </c>
      <c r="B155" s="4">
        <v>14</v>
      </c>
      <c r="C155" s="4">
        <v>40</v>
      </c>
      <c r="D155" s="4">
        <f>AVERAGE(9.5,40,26.6,32.8)</f>
        <v>27.224999999999998</v>
      </c>
    </row>
    <row r="156" spans="1:4" x14ac:dyDescent="0.25">
      <c r="A156" s="4" t="s">
        <v>153</v>
      </c>
      <c r="B156" s="4">
        <v>13</v>
      </c>
      <c r="C156" s="4">
        <v>50</v>
      </c>
      <c r="D156" s="4">
        <f>AVERAGE(23.6,14.7,15.2,13)</f>
        <v>16.625</v>
      </c>
    </row>
    <row r="157" spans="1:4" x14ac:dyDescent="0.25">
      <c r="A157" s="4" t="s">
        <v>154</v>
      </c>
      <c r="B157" s="4">
        <v>13</v>
      </c>
      <c r="C157" s="4">
        <v>62</v>
      </c>
      <c r="D157" s="4">
        <f>AVERAGE(34,17.5,16.4,40.8)</f>
        <v>27.175000000000001</v>
      </c>
    </row>
    <row r="158" spans="1:4" x14ac:dyDescent="0.25">
      <c r="A158" s="4" t="s">
        <v>155</v>
      </c>
      <c r="B158" s="4">
        <v>16</v>
      </c>
      <c r="C158" s="4">
        <v>28</v>
      </c>
      <c r="D158" s="4">
        <f>AVERAGE(42,56,50.2,23.8)</f>
        <v>43</v>
      </c>
    </row>
    <row r="159" spans="1:4" x14ac:dyDescent="0.25">
      <c r="A159" s="4" t="s">
        <v>156</v>
      </c>
      <c r="B159" s="4">
        <v>16</v>
      </c>
      <c r="C159" s="4">
        <v>54</v>
      </c>
      <c r="D159" s="4">
        <f>AVERAGE(52,48.2,19.6,23.5)</f>
        <v>35.825000000000003</v>
      </c>
    </row>
    <row r="160" spans="1:4" x14ac:dyDescent="0.25">
      <c r="A160" s="4" t="s">
        <v>157</v>
      </c>
      <c r="B160" s="4">
        <v>19</v>
      </c>
      <c r="C160" s="4">
        <v>62</v>
      </c>
      <c r="D160" s="4">
        <f>AVERAGE(21.7,30.3,34,37.2)</f>
        <v>30.8</v>
      </c>
    </row>
    <row r="161" spans="1:4" x14ac:dyDescent="0.25">
      <c r="A161" s="4" t="s">
        <v>158</v>
      </c>
      <c r="B161" s="4">
        <v>20</v>
      </c>
      <c r="C161" s="4">
        <v>76</v>
      </c>
      <c r="D161" s="4">
        <f>AVERAGE(44.4,37.7,38.5,40.5)</f>
        <v>40.274999999999999</v>
      </c>
    </row>
    <row r="162" spans="1:4" x14ac:dyDescent="0.25">
      <c r="A162" s="4" t="s">
        <v>159</v>
      </c>
      <c r="B162" s="4">
        <v>9</v>
      </c>
      <c r="C162" s="4">
        <v>148</v>
      </c>
      <c r="D162" s="4">
        <f>AVERAGE(19.8,29.5,11.4,34.5)</f>
        <v>23.799999999999997</v>
      </c>
    </row>
    <row r="163" spans="1:4" x14ac:dyDescent="0.25">
      <c r="A163" s="4" t="s">
        <v>160</v>
      </c>
      <c r="B163" s="4">
        <v>16</v>
      </c>
      <c r="C163" s="4">
        <v>108</v>
      </c>
      <c r="D163" s="4">
        <f>AVERAGE(33,24.5,24.6,0)</f>
        <v>20.524999999999999</v>
      </c>
    </row>
    <row r="164" spans="1:4" x14ac:dyDescent="0.25">
      <c r="A164" s="4" t="s">
        <v>161</v>
      </c>
      <c r="B164" s="4" t="s">
        <v>226</v>
      </c>
      <c r="C164" s="4" t="s">
        <v>226</v>
      </c>
      <c r="D164" s="4">
        <f>AVERAGE(20.9,18.5,0,11.9)</f>
        <v>12.824999999999999</v>
      </c>
    </row>
    <row r="165" spans="1:4" x14ac:dyDescent="0.25">
      <c r="A165" s="4" t="s">
        <v>162</v>
      </c>
      <c r="B165" s="4">
        <v>21</v>
      </c>
      <c r="C165" s="4">
        <v>150</v>
      </c>
      <c r="D165" s="4">
        <f>AVERAGE(19.1,28.4,19.4,31)</f>
        <v>24.475000000000001</v>
      </c>
    </row>
    <row r="166" spans="1:4" x14ac:dyDescent="0.25">
      <c r="A166" s="4" t="s">
        <v>163</v>
      </c>
      <c r="B166" s="4">
        <v>6</v>
      </c>
      <c r="C166" s="4">
        <v>328</v>
      </c>
      <c r="D166" s="4">
        <f>AVERAGE(24.5,32.4,21.8,28.5)</f>
        <v>26.8</v>
      </c>
    </row>
    <row r="167" spans="1:4" x14ac:dyDescent="0.25">
      <c r="A167" s="4" t="s">
        <v>164</v>
      </c>
      <c r="B167" s="4">
        <v>9</v>
      </c>
      <c r="C167" s="4">
        <v>328</v>
      </c>
      <c r="D167" s="4">
        <f>AVERAGE(17.6,28.2,25.5,23.8)</f>
        <v>23.774999999999999</v>
      </c>
    </row>
    <row r="168" spans="1:4" x14ac:dyDescent="0.25">
      <c r="A168" s="4" t="s">
        <v>165</v>
      </c>
      <c r="B168" s="4">
        <v>10</v>
      </c>
      <c r="C168" s="4">
        <v>312</v>
      </c>
      <c r="D168" s="4">
        <f>AVERAGE(27.8,17.6,30.5,17.8)</f>
        <v>23.425000000000001</v>
      </c>
    </row>
    <row r="169" spans="1:4" x14ac:dyDescent="0.25">
      <c r="A169" s="4" t="s">
        <v>166</v>
      </c>
      <c r="B169" s="4">
        <v>11</v>
      </c>
      <c r="C169" s="4">
        <v>354</v>
      </c>
      <c r="D169" s="4">
        <f>AVERAGE(27.8,30.3,48,51)</f>
        <v>39.274999999999999</v>
      </c>
    </row>
    <row r="170" spans="1:4" x14ac:dyDescent="0.25">
      <c r="A170" s="4" t="s">
        <v>167</v>
      </c>
      <c r="B170" s="4">
        <v>14</v>
      </c>
      <c r="C170" s="4">
        <v>354</v>
      </c>
      <c r="D170" s="4">
        <f>AVERAGE(11.8,26.7,20.9,38.6)</f>
        <v>24.5</v>
      </c>
    </row>
    <row r="171" spans="1:4" x14ac:dyDescent="0.25">
      <c r="A171" s="4" t="s">
        <v>168</v>
      </c>
      <c r="B171" s="4">
        <v>14</v>
      </c>
      <c r="C171" s="4">
        <v>354</v>
      </c>
      <c r="D171" s="4">
        <f>AVERAGE(34,37.2,38.6,34)</f>
        <v>35.950000000000003</v>
      </c>
    </row>
    <row r="172" spans="1:4" x14ac:dyDescent="0.25">
      <c r="A172" s="4" t="s">
        <v>169</v>
      </c>
      <c r="B172" s="4">
        <v>14</v>
      </c>
      <c r="C172" s="4">
        <v>354</v>
      </c>
      <c r="D172" s="4">
        <f>AVERAGE(36.6,23.1,0,42.4)</f>
        <v>25.524999999999999</v>
      </c>
    </row>
    <row r="173" spans="1:4" x14ac:dyDescent="0.25">
      <c r="A173" s="4" t="s">
        <v>170</v>
      </c>
      <c r="B173" s="4">
        <v>18</v>
      </c>
      <c r="C173" s="4">
        <v>354</v>
      </c>
      <c r="D173" s="4">
        <f>AVERAGE(25.9,24.1,24,23.3)</f>
        <v>24.324999999999999</v>
      </c>
    </row>
    <row r="174" spans="1:4" x14ac:dyDescent="0.25">
      <c r="A174" s="4" t="s">
        <v>171</v>
      </c>
      <c r="B174" s="4">
        <v>6</v>
      </c>
      <c r="C174" s="4">
        <v>168</v>
      </c>
      <c r="D174" s="4">
        <f>AVERAGE(23,28.2,13.2,29.8)</f>
        <v>23.55</v>
      </c>
    </row>
    <row r="175" spans="1:4" x14ac:dyDescent="0.25">
      <c r="A175" s="4" t="s">
        <v>172</v>
      </c>
      <c r="B175" s="4">
        <v>10</v>
      </c>
      <c r="C175" s="4">
        <v>202</v>
      </c>
      <c r="D175" s="4">
        <f>AVERAGE(11,20,25.4,24)</f>
        <v>20.100000000000001</v>
      </c>
    </row>
    <row r="176" spans="1:4" x14ac:dyDescent="0.25">
      <c r="A176" s="4" t="s">
        <v>173</v>
      </c>
      <c r="B176" s="4">
        <v>9</v>
      </c>
      <c r="C176" s="4">
        <v>234</v>
      </c>
      <c r="D176" s="4">
        <f>AVERAGE(14.8,29,40.8,29)</f>
        <v>28.4</v>
      </c>
    </row>
    <row r="177" spans="1:4" x14ac:dyDescent="0.25">
      <c r="A177" s="4" t="s">
        <v>174</v>
      </c>
      <c r="B177" s="4">
        <v>15</v>
      </c>
      <c r="C177" s="4">
        <v>170</v>
      </c>
      <c r="D177" s="4">
        <f>AVERAGE(22,32.8,38.2,17.2)</f>
        <v>27.55</v>
      </c>
    </row>
    <row r="178" spans="1:4" x14ac:dyDescent="0.25">
      <c r="A178" s="4" t="s">
        <v>175</v>
      </c>
      <c r="B178" s="4">
        <v>16</v>
      </c>
      <c r="C178" s="4">
        <v>222</v>
      </c>
      <c r="D178" s="4">
        <f>AVERAGE(17.4,10.4,19.4,12)</f>
        <v>14.799999999999999</v>
      </c>
    </row>
    <row r="179" spans="1:4" x14ac:dyDescent="0.25">
      <c r="A179" s="4" t="s">
        <v>176</v>
      </c>
      <c r="B179" s="4">
        <v>13</v>
      </c>
      <c r="C179" s="4">
        <v>202</v>
      </c>
      <c r="D179" s="4">
        <f>AVERAGE(38.8,40.8,47,38.4)</f>
        <v>41.25</v>
      </c>
    </row>
    <row r="180" spans="1:4" x14ac:dyDescent="0.25">
      <c r="A180" s="4" t="s">
        <v>177</v>
      </c>
      <c r="B180" s="4">
        <v>15</v>
      </c>
      <c r="C180" s="4">
        <v>206</v>
      </c>
      <c r="D180" s="4">
        <f>AVERAGE(42.2,28.6,47.8,36.8)</f>
        <v>38.85</v>
      </c>
    </row>
    <row r="181" spans="1:4" x14ac:dyDescent="0.25">
      <c r="A181" s="4" t="s">
        <v>178</v>
      </c>
      <c r="B181" s="4">
        <v>14</v>
      </c>
      <c r="C181" s="4">
        <v>190</v>
      </c>
      <c r="D181" s="4">
        <f>AVERAGE(39,29,39.2,47.4)</f>
        <v>38.65</v>
      </c>
    </row>
    <row r="182" spans="1:4" x14ac:dyDescent="0.25">
      <c r="A182" s="4" t="s">
        <v>179</v>
      </c>
      <c r="B182" s="4">
        <v>16</v>
      </c>
      <c r="C182" s="4">
        <v>190</v>
      </c>
      <c r="D182" s="4">
        <f>AVERAGE(28.6,41.2,31,48)</f>
        <v>37.200000000000003</v>
      </c>
    </row>
    <row r="183" spans="1:4" x14ac:dyDescent="0.25">
      <c r="A183" s="4" t="s">
        <v>180</v>
      </c>
      <c r="B183" s="4">
        <v>19</v>
      </c>
      <c r="C183" s="4">
        <v>190</v>
      </c>
      <c r="D183" s="4">
        <f>AVERAGE(36.2,0,0,0)</f>
        <v>9.0500000000000007</v>
      </c>
    </row>
    <row r="184" spans="1:4" x14ac:dyDescent="0.25">
      <c r="A184" s="4" t="s">
        <v>181</v>
      </c>
      <c r="B184" s="4">
        <v>11</v>
      </c>
      <c r="C184" s="4">
        <v>20</v>
      </c>
      <c r="D184" s="4">
        <f>AVERAGE(32.2,26.4,38.8,32.8)</f>
        <v>32.549999999999997</v>
      </c>
    </row>
    <row r="185" spans="1:4" x14ac:dyDescent="0.25">
      <c r="A185" s="4" t="s">
        <v>182</v>
      </c>
      <c r="B185" s="4">
        <v>11</v>
      </c>
      <c r="C185" s="4">
        <v>20</v>
      </c>
      <c r="D185" s="4">
        <f>AVERAGE(25,52.6,52.8,29)</f>
        <v>39.849999999999994</v>
      </c>
    </row>
    <row r="186" spans="1:4" x14ac:dyDescent="0.25">
      <c r="A186" s="4" t="s">
        <v>183</v>
      </c>
      <c r="B186" s="4">
        <v>18</v>
      </c>
      <c r="C186" s="4">
        <v>360</v>
      </c>
      <c r="D186" s="4">
        <f>AVERAGE(34.2,24.6,21,25)</f>
        <v>26.200000000000003</v>
      </c>
    </row>
    <row r="187" spans="1:4" x14ac:dyDescent="0.25">
      <c r="A187" s="4" t="s">
        <v>184</v>
      </c>
      <c r="B187" s="4">
        <v>13</v>
      </c>
      <c r="C187" s="4">
        <v>360</v>
      </c>
      <c r="D187" s="4">
        <f>AVERAGE(37,39,20.3,21.6)</f>
        <v>29.475000000000001</v>
      </c>
    </row>
    <row r="188" spans="1:4" x14ac:dyDescent="0.25">
      <c r="A188" s="4" t="s">
        <v>185</v>
      </c>
      <c r="B188" s="4">
        <v>10</v>
      </c>
      <c r="C188" s="4">
        <v>354</v>
      </c>
      <c r="D188" s="4">
        <f>AVERAGE(51.4,38.6,27.8,16.2)</f>
        <v>33.5</v>
      </c>
    </row>
    <row r="189" spans="1:4" x14ac:dyDescent="0.25">
      <c r="A189" s="4" t="s">
        <v>186</v>
      </c>
      <c r="B189" s="4">
        <v>16</v>
      </c>
      <c r="C189" s="4">
        <v>358</v>
      </c>
      <c r="D189" s="4">
        <f>AVERAGE(17,23.6,35,19.8)</f>
        <v>23.849999999999998</v>
      </c>
    </row>
    <row r="190" spans="1:4" x14ac:dyDescent="0.25">
      <c r="A190" s="4" t="s">
        <v>187</v>
      </c>
      <c r="B190" s="4">
        <v>11</v>
      </c>
      <c r="C190" s="4">
        <v>360</v>
      </c>
      <c r="D190" s="4">
        <f>AVERAGE(24.2,17,22.2,49.4)</f>
        <v>28.200000000000003</v>
      </c>
    </row>
    <row r="191" spans="1:4" x14ac:dyDescent="0.25">
      <c r="A191" s="4" t="s">
        <v>188</v>
      </c>
      <c r="B191" s="4">
        <v>10</v>
      </c>
      <c r="C191" s="4">
        <v>10</v>
      </c>
      <c r="D191" s="4">
        <f>AVERAGE(32.4,37.2,49.2,32.4)</f>
        <v>37.799999999999997</v>
      </c>
    </row>
    <row r="192" spans="1:4" x14ac:dyDescent="0.25">
      <c r="A192" s="4" t="s">
        <v>189</v>
      </c>
      <c r="B192" s="4">
        <v>13</v>
      </c>
      <c r="C192" s="4">
        <v>8</v>
      </c>
      <c r="D192" s="4">
        <f>AVERAGE(43,22.8,24.6,42.2)</f>
        <v>33.150000000000006</v>
      </c>
    </row>
    <row r="193" spans="1:4" x14ac:dyDescent="0.25">
      <c r="A193" s="4" t="s">
        <v>190</v>
      </c>
      <c r="B193" s="4">
        <v>16</v>
      </c>
      <c r="C193" s="4">
        <v>22</v>
      </c>
      <c r="D193" s="4">
        <f>AVERAGE(18.2,29.8,32.2,31.8)</f>
        <v>28</v>
      </c>
    </row>
    <row r="194" spans="1:4" x14ac:dyDescent="0.25">
      <c r="A194" s="4" t="s">
        <v>191</v>
      </c>
      <c r="B194" s="4">
        <v>18</v>
      </c>
      <c r="C194" s="4">
        <v>200</v>
      </c>
      <c r="D194" s="4">
        <f>AVERAGE(32,29.4,30.2,10)</f>
        <v>25.4</v>
      </c>
    </row>
    <row r="195" spans="1:4" x14ac:dyDescent="0.25">
      <c r="A195" s="4" t="s">
        <v>192</v>
      </c>
      <c r="B195" s="4">
        <v>16</v>
      </c>
      <c r="C195" s="4">
        <v>200</v>
      </c>
      <c r="D195" s="4">
        <f>AVERAGE(10.4,12.4,30,0)</f>
        <v>13.2</v>
      </c>
    </row>
    <row r="196" spans="1:4" x14ac:dyDescent="0.25">
      <c r="A196" s="4" t="s">
        <v>193</v>
      </c>
      <c r="B196" s="4">
        <v>11</v>
      </c>
      <c r="C196" s="4">
        <v>324</v>
      </c>
      <c r="D196" s="4">
        <f>AVERAGE(34,35,36.2,56.6)</f>
        <v>40.450000000000003</v>
      </c>
    </row>
    <row r="197" spans="1:4" x14ac:dyDescent="0.25">
      <c r="A197" s="4" t="s">
        <v>194</v>
      </c>
      <c r="B197" s="4">
        <v>11</v>
      </c>
      <c r="C197" s="4">
        <v>316</v>
      </c>
      <c r="D197" s="4">
        <f>AVERAGE(42,14.6,0,50.4)</f>
        <v>26.75</v>
      </c>
    </row>
    <row r="198" spans="1:4" x14ac:dyDescent="0.25">
      <c r="A198" s="4" t="s">
        <v>195</v>
      </c>
      <c r="B198" s="4">
        <v>12</v>
      </c>
      <c r="C198" s="4">
        <v>16</v>
      </c>
      <c r="D198" s="4">
        <f>AVERAGE(45.8,60,34,51)</f>
        <v>47.7</v>
      </c>
    </row>
    <row r="199" spans="1:4" x14ac:dyDescent="0.25">
      <c r="A199" s="4" t="s">
        <v>196</v>
      </c>
      <c r="B199" s="4">
        <v>13</v>
      </c>
      <c r="C199" s="4">
        <v>2</v>
      </c>
      <c r="D199" s="4">
        <f>AVERAGE(25.6,30.8,15,51.8)</f>
        <v>30.8</v>
      </c>
    </row>
    <row r="200" spans="1:4" x14ac:dyDescent="0.25">
      <c r="A200" s="4" t="s">
        <v>197</v>
      </c>
      <c r="B200" s="4">
        <v>15</v>
      </c>
      <c r="C200" s="4">
        <v>350</v>
      </c>
      <c r="D200" s="4">
        <f>AVERAGE(37.8,42,44.8,34.4)</f>
        <v>39.75</v>
      </c>
    </row>
    <row r="201" spans="1:4" x14ac:dyDescent="0.25">
      <c r="A201" s="4" t="s">
        <v>198</v>
      </c>
      <c r="B201" s="4">
        <v>1</v>
      </c>
      <c r="C201" s="4">
        <v>270</v>
      </c>
      <c r="D201" s="4">
        <f>AVERAGE(22,26,17.6,17.2)</f>
        <v>20.7</v>
      </c>
    </row>
    <row r="202" spans="1:4" x14ac:dyDescent="0.25">
      <c r="A202" s="4" t="s">
        <v>199</v>
      </c>
      <c r="B202" s="4">
        <v>9</v>
      </c>
      <c r="C202" s="4">
        <v>196</v>
      </c>
      <c r="D202" s="4">
        <f>AVERAGE(53.4,43,42.2,56)</f>
        <v>48.650000000000006</v>
      </c>
    </row>
    <row r="203" spans="1:4" x14ac:dyDescent="0.25">
      <c r="A203" s="4" t="s">
        <v>200</v>
      </c>
      <c r="B203" s="4">
        <v>11</v>
      </c>
      <c r="C203" s="4">
        <v>190</v>
      </c>
      <c r="D203" s="4">
        <f>AVERAGE(53.2,30,33.2,33)</f>
        <v>37.35</v>
      </c>
    </row>
    <row r="204" spans="1:4" x14ac:dyDescent="0.25">
      <c r="A204" s="4" t="s">
        <v>201</v>
      </c>
      <c r="B204" s="4">
        <v>6</v>
      </c>
      <c r="C204" s="4">
        <v>60</v>
      </c>
      <c r="D204" s="4">
        <f>AVERAGE(36,23,23.2,23)</f>
        <v>26.3</v>
      </c>
    </row>
    <row r="205" spans="1:4" x14ac:dyDescent="0.25">
      <c r="A205" s="4" t="s">
        <v>202</v>
      </c>
      <c r="B205" s="4">
        <v>5</v>
      </c>
      <c r="C205" s="4">
        <v>20</v>
      </c>
      <c r="D205" s="4">
        <f>AVERAGE(27.2,21.2,17,31)</f>
        <v>24.1</v>
      </c>
    </row>
    <row r="206" spans="1:4" x14ac:dyDescent="0.25">
      <c r="A206" s="4" t="s">
        <v>203</v>
      </c>
      <c r="B206" s="4">
        <v>8</v>
      </c>
      <c r="C206" s="4">
        <v>60</v>
      </c>
      <c r="D206" s="4">
        <f>AVERAGE(28,36.2,23.6,43)</f>
        <v>32.700000000000003</v>
      </c>
    </row>
    <row r="207" spans="1:4" x14ac:dyDescent="0.25">
      <c r="A207" s="4" t="s">
        <v>204</v>
      </c>
      <c r="B207" s="4">
        <v>10</v>
      </c>
      <c r="C207" s="4">
        <v>74</v>
      </c>
      <c r="D207" s="4">
        <f>AVERAGE(36.8,26.4,39,33.2)</f>
        <v>33.849999999999994</v>
      </c>
    </row>
    <row r="208" spans="1:4" x14ac:dyDescent="0.25">
      <c r="A208" s="4" t="s">
        <v>205</v>
      </c>
      <c r="B208" s="4">
        <v>10</v>
      </c>
      <c r="C208" s="4">
        <v>76</v>
      </c>
      <c r="D208" s="4">
        <f>AVERAGE(46.2,16.4,34.2,36.4)</f>
        <v>33.300000000000004</v>
      </c>
    </row>
    <row r="209" spans="1:4" x14ac:dyDescent="0.25">
      <c r="A209" s="4" t="s">
        <v>206</v>
      </c>
      <c r="B209" s="4">
        <v>14</v>
      </c>
      <c r="C209" s="4">
        <v>76</v>
      </c>
      <c r="D209" s="4">
        <f>AVERAGE(32.4,25.4,24,21)</f>
        <v>25.7</v>
      </c>
    </row>
    <row r="210" spans="1:4" x14ac:dyDescent="0.25">
      <c r="A210" s="4" t="s">
        <v>207</v>
      </c>
      <c r="B210" s="4">
        <v>14</v>
      </c>
      <c r="C210" s="4">
        <v>70</v>
      </c>
      <c r="D210" s="4">
        <f>AVERAGE(53.4,28,30,28.6)</f>
        <v>35</v>
      </c>
    </row>
    <row r="211" spans="1:4" x14ac:dyDescent="0.25">
      <c r="A211" s="4" t="s">
        <v>208</v>
      </c>
      <c r="B211" s="4">
        <v>11</v>
      </c>
      <c r="C211" s="4">
        <v>66</v>
      </c>
      <c r="D211" s="4">
        <f>AVERAGE(50.2,43.8,38.2,38.2)</f>
        <v>42.599999999999994</v>
      </c>
    </row>
    <row r="212" spans="1:4" x14ac:dyDescent="0.25">
      <c r="A212" s="4" t="s">
        <v>209</v>
      </c>
      <c r="B212" s="4">
        <v>14</v>
      </c>
      <c r="C212" s="4">
        <v>74</v>
      </c>
      <c r="D212" s="4">
        <f>AVERAGE(29.8,47,36.2,53.4)</f>
        <v>41.6</v>
      </c>
    </row>
    <row r="213" spans="1:4" x14ac:dyDescent="0.25">
      <c r="A213" s="4" t="s">
        <v>210</v>
      </c>
      <c r="B213" s="4">
        <v>14</v>
      </c>
      <c r="C213" s="4">
        <v>74</v>
      </c>
      <c r="D213" s="4">
        <f>AVERAGE(45,66,65,43.2)</f>
        <v>54.8</v>
      </c>
    </row>
    <row r="214" spans="1:4" x14ac:dyDescent="0.25">
      <c r="A214" s="4" t="s">
        <v>211</v>
      </c>
      <c r="B214" s="4">
        <v>15</v>
      </c>
      <c r="C214" s="4">
        <v>76</v>
      </c>
      <c r="D214" s="4">
        <f>AVERAGE(41,39.8,48.6,51)</f>
        <v>45.1</v>
      </c>
    </row>
    <row r="215" spans="1:4" x14ac:dyDescent="0.25">
      <c r="A215" s="4" t="s">
        <v>212</v>
      </c>
      <c r="B215" s="4">
        <v>3</v>
      </c>
      <c r="C215" s="4">
        <v>274</v>
      </c>
      <c r="D215" s="4">
        <f>AVERAGE(20,38.8,29,35.4)</f>
        <v>30.799999999999997</v>
      </c>
    </row>
    <row r="216" spans="1:4" x14ac:dyDescent="0.25">
      <c r="A216" s="4" t="s">
        <v>213</v>
      </c>
      <c r="B216" s="4">
        <v>3</v>
      </c>
      <c r="C216" s="4">
        <v>274</v>
      </c>
      <c r="D216" s="4">
        <f>AVERAGE(31.4,34.2,21,32.4)</f>
        <v>29.75</v>
      </c>
    </row>
    <row r="217" spans="1:4" x14ac:dyDescent="0.25">
      <c r="A217" s="4" t="s">
        <v>214</v>
      </c>
      <c r="B217" s="4">
        <v>6</v>
      </c>
      <c r="C217" s="4">
        <v>280</v>
      </c>
      <c r="D217" s="4">
        <f>AVERAGE(20,14.4,48.2,31.4)</f>
        <v>28.5</v>
      </c>
    </row>
    <row r="218" spans="1:4" x14ac:dyDescent="0.25">
      <c r="A218" s="4" t="s">
        <v>215</v>
      </c>
      <c r="B218" s="4">
        <v>9</v>
      </c>
      <c r="C218" s="4">
        <v>292</v>
      </c>
      <c r="D218" s="4">
        <f>AVERAGE(26.2,30.6,31.2,31.8)</f>
        <v>29.95</v>
      </c>
    </row>
    <row r="219" spans="1:4" x14ac:dyDescent="0.25">
      <c r="A219" s="4" t="s">
        <v>216</v>
      </c>
      <c r="B219" s="4">
        <v>9</v>
      </c>
      <c r="C219" s="4">
        <v>288</v>
      </c>
      <c r="D219" s="4">
        <f>AVERAGE(33.2,28,28.6,39)</f>
        <v>32.200000000000003</v>
      </c>
    </row>
    <row r="220" spans="1:4" x14ac:dyDescent="0.25">
      <c r="A220" s="4" t="s">
        <v>217</v>
      </c>
      <c r="B220" s="4">
        <v>11</v>
      </c>
      <c r="C220" s="4">
        <v>320</v>
      </c>
      <c r="D220" s="4">
        <f>AVERAGE(24.6,27,22.2,25.6)</f>
        <v>24.85</v>
      </c>
    </row>
    <row r="221" spans="1:4" x14ac:dyDescent="0.25">
      <c r="A221" s="4" t="s">
        <v>218</v>
      </c>
      <c r="B221" s="4">
        <v>12</v>
      </c>
      <c r="C221" s="4">
        <v>396</v>
      </c>
      <c r="D221" s="4">
        <f>AVERAGE(36.8,25.8,25,26)</f>
        <v>28.4</v>
      </c>
    </row>
    <row r="222" spans="1:4" x14ac:dyDescent="0.25">
      <c r="A222" s="4" t="s">
        <v>219</v>
      </c>
      <c r="B222" s="4">
        <v>11</v>
      </c>
      <c r="C222" s="4">
        <v>292</v>
      </c>
      <c r="D222" s="4">
        <f>AVERAGE(19.2,15.6,45.4,27.8)</f>
        <v>26.999999999999996</v>
      </c>
    </row>
    <row r="223" spans="1:4" x14ac:dyDescent="0.25">
      <c r="A223" s="4" t="s">
        <v>221</v>
      </c>
      <c r="B223" s="4">
        <v>18</v>
      </c>
      <c r="C223" s="4">
        <v>390</v>
      </c>
      <c r="D223" s="4">
        <f>AVERAGE(45,37.8,38,30.4)</f>
        <v>37.799999999999997</v>
      </c>
    </row>
    <row r="224" spans="1:4" x14ac:dyDescent="0.25">
      <c r="A224" s="4" t="s">
        <v>222</v>
      </c>
      <c r="B224" s="4">
        <v>15</v>
      </c>
      <c r="C224" s="4">
        <v>304</v>
      </c>
      <c r="D224" s="4">
        <f>AVERAGE(51.4,30,46.8,53)</f>
        <v>45.3</v>
      </c>
    </row>
    <row r="225" spans="1:4" x14ac:dyDescent="0.25">
      <c r="A225" s="4" t="s">
        <v>223</v>
      </c>
      <c r="B225" s="4">
        <v>14</v>
      </c>
      <c r="C225" s="4">
        <v>304</v>
      </c>
      <c r="D225" s="4">
        <f>AVERAGE(19,18.8,24.2,23.6)</f>
        <v>21.4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E35" sqref="E35"/>
    </sheetView>
  </sheetViews>
  <sheetFormatPr defaultColWidth="11" defaultRowHeight="15.75" x14ac:dyDescent="0.25"/>
  <cols>
    <col min="2" max="2" width="27" customWidth="1"/>
    <col min="3" max="3" width="23.375" customWidth="1"/>
  </cols>
  <sheetData>
    <row r="1" spans="1:3" x14ac:dyDescent="0.25">
      <c r="A1" t="s">
        <v>284</v>
      </c>
      <c r="B1" t="s">
        <v>291</v>
      </c>
    </row>
    <row r="2" spans="1:3" x14ac:dyDescent="0.25">
      <c r="A2" t="s">
        <v>283</v>
      </c>
      <c r="B2" t="s">
        <v>292</v>
      </c>
    </row>
    <row r="3" spans="1:3" x14ac:dyDescent="0.25">
      <c r="A3" t="s">
        <v>285</v>
      </c>
      <c r="B3" t="s">
        <v>290</v>
      </c>
    </row>
    <row r="5" spans="1:3" x14ac:dyDescent="0.25">
      <c r="A5" t="s">
        <v>293</v>
      </c>
      <c r="B5" t="s">
        <v>294</v>
      </c>
    </row>
    <row r="6" spans="1:3" x14ac:dyDescent="0.25">
      <c r="A6" t="s">
        <v>224</v>
      </c>
      <c r="B6" t="s">
        <v>332</v>
      </c>
    </row>
    <row r="7" spans="1:3" x14ac:dyDescent="0.25">
      <c r="A7" t="s">
        <v>295</v>
      </c>
      <c r="B7" t="s">
        <v>296</v>
      </c>
    </row>
    <row r="9" spans="1:3" x14ac:dyDescent="0.25">
      <c r="A9" t="s">
        <v>360</v>
      </c>
      <c r="C9" t="s">
        <v>361</v>
      </c>
    </row>
    <row r="10" spans="1:3" x14ac:dyDescent="0.25">
      <c r="A10" t="s">
        <v>365</v>
      </c>
      <c r="C10" t="s">
        <v>366</v>
      </c>
    </row>
    <row r="11" spans="1:3" x14ac:dyDescent="0.25">
      <c r="A11" t="s">
        <v>301</v>
      </c>
      <c r="B11" s="1" t="s">
        <v>302</v>
      </c>
      <c r="C11" t="s">
        <v>303</v>
      </c>
    </row>
    <row r="12" spans="1:3" x14ac:dyDescent="0.25">
      <c r="A12" t="s">
        <v>357</v>
      </c>
      <c r="B12" s="1" t="s">
        <v>358</v>
      </c>
      <c r="C12" t="s">
        <v>359</v>
      </c>
    </row>
    <row r="13" spans="1:3" x14ac:dyDescent="0.25">
      <c r="A13" t="s">
        <v>307</v>
      </c>
      <c r="B13" s="1" t="s">
        <v>308</v>
      </c>
      <c r="C13" t="s">
        <v>309</v>
      </c>
    </row>
    <row r="14" spans="1:3" x14ac:dyDescent="0.25">
      <c r="A14" t="s">
        <v>298</v>
      </c>
      <c r="B14" s="1" t="s">
        <v>299</v>
      </c>
      <c r="C14" t="s">
        <v>300</v>
      </c>
    </row>
    <row r="15" spans="1:3" x14ac:dyDescent="0.25">
      <c r="A15" t="s">
        <v>382</v>
      </c>
      <c r="B15" s="1" t="s">
        <v>383</v>
      </c>
      <c r="C15" t="s">
        <v>384</v>
      </c>
    </row>
    <row r="16" spans="1:3" x14ac:dyDescent="0.25">
      <c r="A16" t="s">
        <v>297</v>
      </c>
      <c r="B16" s="1" t="s">
        <v>325</v>
      </c>
      <c r="C16" t="s">
        <v>326</v>
      </c>
    </row>
    <row r="17" spans="1:3" x14ac:dyDescent="0.25">
      <c r="A17" t="s">
        <v>304</v>
      </c>
      <c r="B17" s="1" t="s">
        <v>305</v>
      </c>
      <c r="C17" t="s">
        <v>306</v>
      </c>
    </row>
    <row r="18" spans="1:3" x14ac:dyDescent="0.25">
      <c r="A18" t="s">
        <v>336</v>
      </c>
      <c r="B18" s="1" t="s">
        <v>337</v>
      </c>
      <c r="C18" t="s">
        <v>338</v>
      </c>
    </row>
    <row r="19" spans="1:3" x14ac:dyDescent="0.25">
      <c r="A19" t="s">
        <v>310</v>
      </c>
      <c r="B19" s="1" t="s">
        <v>311</v>
      </c>
      <c r="C19" t="s">
        <v>312</v>
      </c>
    </row>
    <row r="20" spans="1:3" x14ac:dyDescent="0.25">
      <c r="A20" t="s">
        <v>313</v>
      </c>
      <c r="B20" s="1" t="s">
        <v>314</v>
      </c>
      <c r="C20" t="s">
        <v>315</v>
      </c>
    </row>
    <row r="21" spans="1:3" x14ac:dyDescent="0.25">
      <c r="A21" t="s">
        <v>385</v>
      </c>
      <c r="C21" t="s">
        <v>386</v>
      </c>
    </row>
    <row r="22" spans="1:3" x14ac:dyDescent="0.25">
      <c r="A22" t="s">
        <v>373</v>
      </c>
      <c r="C22" t="s">
        <v>374</v>
      </c>
    </row>
    <row r="23" spans="1:3" x14ac:dyDescent="0.25">
      <c r="A23" t="s">
        <v>375</v>
      </c>
      <c r="C23" t="s">
        <v>376</v>
      </c>
    </row>
    <row r="24" spans="1:3" x14ac:dyDescent="0.25">
      <c r="A24" t="s">
        <v>377</v>
      </c>
      <c r="C24" t="s">
        <v>378</v>
      </c>
    </row>
    <row r="25" spans="1:3" x14ac:dyDescent="0.25">
      <c r="A25" t="s">
        <v>316</v>
      </c>
      <c r="B25" s="1" t="s">
        <v>317</v>
      </c>
      <c r="C25" t="s">
        <v>318</v>
      </c>
    </row>
    <row r="26" spans="1:3" x14ac:dyDescent="0.25">
      <c r="A26" t="s">
        <v>370</v>
      </c>
      <c r="B26" s="1" t="s">
        <v>371</v>
      </c>
      <c r="C26" t="s">
        <v>372</v>
      </c>
    </row>
    <row r="27" spans="1:3" x14ac:dyDescent="0.25">
      <c r="A27" t="s">
        <v>387</v>
      </c>
      <c r="B27" s="1" t="s">
        <v>388</v>
      </c>
      <c r="C27" t="s">
        <v>389</v>
      </c>
    </row>
    <row r="28" spans="1:3" x14ac:dyDescent="0.25">
      <c r="A28" t="s">
        <v>379</v>
      </c>
      <c r="B28" s="1" t="s">
        <v>380</v>
      </c>
      <c r="C28" t="s">
        <v>381</v>
      </c>
    </row>
    <row r="29" spans="1:3" x14ac:dyDescent="0.25">
      <c r="A29" t="s">
        <v>339</v>
      </c>
      <c r="B29" s="1" t="s">
        <v>393</v>
      </c>
      <c r="C29" t="s">
        <v>392</v>
      </c>
    </row>
    <row r="30" spans="1:3" x14ac:dyDescent="0.25">
      <c r="A30" t="s">
        <v>351</v>
      </c>
      <c r="B30" s="1" t="s">
        <v>352</v>
      </c>
      <c r="C30" t="s">
        <v>353</v>
      </c>
    </row>
    <row r="31" spans="1:3" x14ac:dyDescent="0.25">
      <c r="A31" t="s">
        <v>348</v>
      </c>
      <c r="B31" s="1" t="s">
        <v>349</v>
      </c>
      <c r="C31" t="s">
        <v>350</v>
      </c>
    </row>
    <row r="32" spans="1:3" x14ac:dyDescent="0.25">
      <c r="A32" t="s">
        <v>362</v>
      </c>
      <c r="B32" s="1" t="s">
        <v>363</v>
      </c>
      <c r="C32" t="s">
        <v>364</v>
      </c>
    </row>
    <row r="33" spans="1:3" x14ac:dyDescent="0.25">
      <c r="A33" t="s">
        <v>319</v>
      </c>
      <c r="B33" s="1" t="s">
        <v>320</v>
      </c>
      <c r="C33" t="s">
        <v>321</v>
      </c>
    </row>
    <row r="34" spans="1:3" x14ac:dyDescent="0.25">
      <c r="A34" t="s">
        <v>333</v>
      </c>
      <c r="B34" s="1" t="s">
        <v>334</v>
      </c>
      <c r="C34" t="s">
        <v>335</v>
      </c>
    </row>
    <row r="35" spans="1:3" x14ac:dyDescent="0.25">
      <c r="A35" t="s">
        <v>329</v>
      </c>
      <c r="B35" s="1" t="s">
        <v>330</v>
      </c>
      <c r="C35" t="s">
        <v>331</v>
      </c>
    </row>
    <row r="36" spans="1:3" x14ac:dyDescent="0.25">
      <c r="A36" t="s">
        <v>343</v>
      </c>
      <c r="B36" s="1" t="s">
        <v>344</v>
      </c>
      <c r="C36" t="s">
        <v>345</v>
      </c>
    </row>
    <row r="37" spans="1:3" x14ac:dyDescent="0.25">
      <c r="A37" t="s">
        <v>367</v>
      </c>
      <c r="B37" s="1" t="s">
        <v>368</v>
      </c>
      <c r="C37" t="s">
        <v>369</v>
      </c>
    </row>
    <row r="38" spans="1:3" x14ac:dyDescent="0.25">
      <c r="A38" t="s">
        <v>327</v>
      </c>
      <c r="B38" s="1" t="s">
        <v>394</v>
      </c>
      <c r="C38" t="s">
        <v>390</v>
      </c>
    </row>
    <row r="39" spans="1:3" x14ac:dyDescent="0.25">
      <c r="A39" t="s">
        <v>340</v>
      </c>
      <c r="B39" s="1" t="s">
        <v>341</v>
      </c>
      <c r="C39" t="s">
        <v>342</v>
      </c>
    </row>
    <row r="40" spans="1:3" x14ac:dyDescent="0.25">
      <c r="A40" t="s">
        <v>322</v>
      </c>
      <c r="B40" s="1" t="s">
        <v>323</v>
      </c>
      <c r="C40" t="s">
        <v>324</v>
      </c>
    </row>
    <row r="41" spans="1:3" x14ac:dyDescent="0.25">
      <c r="A41" t="s">
        <v>346</v>
      </c>
      <c r="B41" s="1" t="s">
        <v>395</v>
      </c>
      <c r="C41" t="s">
        <v>347</v>
      </c>
    </row>
    <row r="42" spans="1:3" x14ac:dyDescent="0.25">
      <c r="A42" t="s">
        <v>354</v>
      </c>
      <c r="B42" s="1" t="s">
        <v>355</v>
      </c>
      <c r="C42" t="s">
        <v>356</v>
      </c>
    </row>
    <row r="43" spans="1:3" x14ac:dyDescent="0.25">
      <c r="A43" t="s">
        <v>328</v>
      </c>
      <c r="B43" s="1" t="s">
        <v>396</v>
      </c>
      <c r="C43" t="s">
        <v>391</v>
      </c>
    </row>
  </sheetData>
  <sortState ref="A9:C43">
    <sortCondition ref="A9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veg only</vt:lpstr>
      <vt:lpstr>Veg for CCA</vt:lpstr>
      <vt:lpstr>Environmental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Stokes</dc:creator>
  <cp:lastModifiedBy>anonymous</cp:lastModifiedBy>
  <dcterms:created xsi:type="dcterms:W3CDTF">2020-06-18T15:11:37Z</dcterms:created>
  <dcterms:modified xsi:type="dcterms:W3CDTF">2021-02-11T17:09:50Z</dcterms:modified>
</cp:coreProperties>
</file>