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nance Report" sheetId="1" r:id="rId4"/>
    <sheet state="visible" name="January" sheetId="2" r:id="rId5"/>
    <sheet state="visible" name="February" sheetId="3" r:id="rId6"/>
    <sheet state="visible" name="March" sheetId="4" r:id="rId7"/>
    <sheet state="visible" name="April" sheetId="5" r:id="rId8"/>
    <sheet state="visible" name="May" sheetId="6" r:id="rId9"/>
    <sheet state="visible" name="June" sheetId="7" r:id="rId10"/>
    <sheet state="visible" name="July" sheetId="8" r:id="rId11"/>
    <sheet state="visible" name="August" sheetId="9" r:id="rId12"/>
    <sheet state="visible" name="September" sheetId="10" r:id="rId13"/>
    <sheet state="visible" name="October" sheetId="11" r:id="rId14"/>
    <sheet state="visible" name="November" sheetId="12" r:id="rId15"/>
    <sheet state="visible" name="December" sheetId="13" r:id="rId16"/>
    <sheet state="visible" name="Database" sheetId="14" r:id="rId17"/>
  </sheets>
  <definedNames>
    <definedName localSheetId="5" name="May_Total_Invested">May!$BX$3:$CB$9</definedName>
    <definedName localSheetId="11" name="Nov_Amo_Invested">November!$BB$3:$BG$9</definedName>
    <definedName localSheetId="12" name="Dec_Total_Invested">December!$BX$3:$CB$9</definedName>
    <definedName localSheetId="6" name="Jun_Happiness">June!$AJ$13:$AO$20</definedName>
    <definedName localSheetId="2" name="Feb_Amo_Invested">February!$BB$3:$BG$9</definedName>
    <definedName localSheetId="8" name="Aug_Liabilities">August!$T$13:$Z$24</definedName>
    <definedName localSheetId="7" name="Jul_Total_Invested">July!$BX$3:$CB$9</definedName>
    <definedName localSheetId="2" name="Feb_Liabilities">February!$T$13:$Z$24</definedName>
    <definedName localSheetId="11" name="Nov_Happiness">November!$AJ$13:$AO$20</definedName>
    <definedName localSheetId="6" name="Jun_Liabilities">June!$T$13:$Z$24</definedName>
    <definedName localSheetId="3" name="Mar_Income">March!$T$3:$Z$10</definedName>
    <definedName localSheetId="4" name="Apr_Liabilities">April!$T$13:$Z$24</definedName>
    <definedName localSheetId="8" name="Aug_Amo_Invested">August!$BB$3:$BG$9</definedName>
    <definedName localSheetId="9" name="Sep_Amo_Invested">September!$BB$3:$BG$9</definedName>
    <definedName localSheetId="1" name="Jan_Liabilities">January!$T$13:$Z$24</definedName>
    <definedName localSheetId="12" name="Dec_Amo_Invested">December!$BB$3:$BG$9</definedName>
    <definedName localSheetId="1" name="Jan_Amo_Invested">January!$BB$3:$BG$9</definedName>
    <definedName localSheetId="6" name="Jun_Amo_Invested">June!$BB$3:$BG$9</definedName>
    <definedName localSheetId="1" name="Jan_Total_Invested">January!$BX$3:$CB$9</definedName>
    <definedName localSheetId="3" name="Mar_Total_Invested">March!$BX$3:$CB$9</definedName>
    <definedName localSheetId="9" name="Sep_Happiness">September!$AJ$13:$AO$20</definedName>
    <definedName localSheetId="10" name="Oct_Amo_Invested">October!$BB$3:$BG$9</definedName>
    <definedName localSheetId="4" name="Apr_Happiness">April!$AJ$13:$AO$20</definedName>
    <definedName localSheetId="4" name="Apr_Total_Invested">April!$BX$3:$CB$9</definedName>
    <definedName localSheetId="3" name="Mar_Liabilities">March!$T$13:$Z$24</definedName>
    <definedName localSheetId="8" name="Aug_Income">August!$T$3:$Z$10</definedName>
    <definedName localSheetId="9" name="Sep_Income">September!$T$3:$Z$10</definedName>
    <definedName localSheetId="2" name="Feb_Income">February!$T$3:$Z$10</definedName>
    <definedName localSheetId="5" name="May_Liabilities">May!$T$13:$Z$24</definedName>
    <definedName localSheetId="6" name="Jun_Income">June!$T$3:$Z$10</definedName>
    <definedName localSheetId="2" name="Feb_Total_Invested">February!$BX$3:$CB$9</definedName>
    <definedName localSheetId="4" name="Apr_Income">April!$T$3:$Z$10</definedName>
    <definedName localSheetId="7" name="Jul_Liabilities">July!$T$13:$Z$24</definedName>
    <definedName localSheetId="9" name="Sep_Total_Invested">September!$BX$3:$CB$9</definedName>
    <definedName localSheetId="12" name="Dec_Happiness">December!$AJ$13:$AO$20</definedName>
    <definedName localSheetId="3" name="Mar_Amo_Invested">March!$BB$3:$BG$9</definedName>
    <definedName localSheetId="11" name="Nov_Income">November!$T$3:$Z$10</definedName>
    <definedName localSheetId="10" name="Oct_Total_Invested">October!$BX$3:$CB$9</definedName>
    <definedName localSheetId="12" name="Dec_Income">December!$T$3:$Z$10</definedName>
    <definedName localSheetId="4" name="Apr_Amo_Invested">April!$BB$3:$BG$9</definedName>
    <definedName localSheetId="5" name="May_Happiness">May!$AJ$13:$AO$20</definedName>
    <definedName localSheetId="6" name="Jun_Total_Invested">June!$BX$3:$CB$9</definedName>
    <definedName localSheetId="1" name="Jan_Happiness">January!$AJ$13:$AO$20</definedName>
    <definedName localSheetId="3" name="Mar_Happiness">March!$AJ$13:$AO$20</definedName>
    <definedName localSheetId="7" name="Jul_Income">July!$T$3:$Z$10</definedName>
    <definedName localSheetId="7" name="Jul_Happiness">July!$AJ$13:$AO$20</definedName>
    <definedName localSheetId="11" name="Nov_Total_Invested">November!$BX$3:$CB$9</definedName>
    <definedName localSheetId="5" name="May_Amo_Invested">May!$BB$3:$BG$9</definedName>
    <definedName localSheetId="2" name="Feb_Happiness">February!$AJ$13:$AO$20</definedName>
    <definedName localSheetId="1" name="Jan_Income">January!$T$3:$Z$10</definedName>
    <definedName localSheetId="8" name="Aug_Happiness">August!$AJ$13:$AO$20</definedName>
    <definedName localSheetId="8" name="Aug_Total_Invested">August!$BX$3:$CB$9</definedName>
    <definedName localSheetId="5" name="May_Income">May!$T$3:$Z$10</definedName>
    <definedName localSheetId="12" name="Dec_Liabilities">December!$T$13:$Z$24</definedName>
    <definedName localSheetId="7" name="Jul_Amo_Invested">July!$BB$3:$BG$9</definedName>
    <definedName localSheetId="10" name="Oct_Income">October!$T$3:$Z$10</definedName>
    <definedName localSheetId="9" name="Sep_Liabilities">September!$T$13:$Z$24</definedName>
    <definedName localSheetId="10" name="Oct_Happiness">October!$AJ$13:$AO$20</definedName>
    <definedName localSheetId="11" name="Nov_Liabilities">November!$T$13:$Z$24</definedName>
    <definedName localSheetId="10" name="Oct_Liabilities">October!$T$13:$Z$24</definedName>
  </definedNames>
  <calcPr/>
  <extLst>
    <ext uri="GoogleSheetsCustomDataVersion1">
      <go:sheetsCustomData xmlns:go="http://customooxmlschemas.google.com/" r:id="rId18" roundtripDataSignature="AMtx7mgYaP1LbP2ufcxG8pyIRkRNRVAy7g=="/>
    </ext>
  </extLst>
</workbook>
</file>

<file path=xl/comments1.xml><?xml version="1.0" encoding="utf-8"?>
<comments xmlns:r="http://schemas.openxmlformats.org/officeDocument/2006/relationships" xmlns="http://schemas.openxmlformats.org/spreadsheetml/2006/main">
  <authors>
    <author/>
  </authors>
  <commentList>
    <comment authorId="0" ref="M6">
      <text>
        <t xml:space="preserve">======
ID#AAAAtg9w1ak
Matheus    (2023-03-26 19:19:49)
** blessings **</t>
      </text>
    </comment>
    <comment authorId="0" ref="M13">
      <text>
        <t xml:space="preserve">======
ID#AAAAtg9w1aI
Matheus    (2023-03-26 19:19:49)
All monthly expenses regarding the house you live</t>
      </text>
    </comment>
    <comment authorId="0" ref="BH2">
      <text>
        <t xml:space="preserve">======
ID#AAAAtg9w1aA
Matheus    (2023-03-26 19:19:49)
In average, the growth expactancy of this asset per month. It can be corrected for the actual growth the asset had all throughout the month</t>
      </text>
    </comment>
    <comment authorId="0" ref="AX2">
      <text>
        <t xml:space="preserve">======
ID#AAAAtg9w1Y4
Matheus    (2023-03-26 19:19:49)
Divide all the money you wish to invest (100%) here, in percentages</t>
      </text>
    </comment>
    <comment authorId="0" ref="M4">
      <text>
        <t xml:space="preserve">======
ID#AAAAtg9w1Xk
Matheus    (2023-03-26 19:19:49)
Last Month Leftover</t>
      </text>
    </comment>
    <comment authorId="0" ref="BB2">
      <text>
        <t xml:space="preserve">======
ID#AAAAtg9w1Xc
Matheus    (2023-03-26 19:19:49)
This is the amount you have in cash to spend in this specific investment type</t>
      </text>
    </comment>
    <comment authorId="0" ref="BL2">
      <text>
        <t xml:space="preserve">======
ID#AAAAtg9w1W8
Matheus    (2023-03-26 19:19:49)
Accumulated amount of the past months. If you have switched investments and 1000 from X investment became 600 of Y and 400 of Z, you can put these new values here</t>
      </text>
    </comment>
    <comment authorId="0" ref="M5">
      <text>
        <t xml:space="preserve">======
ID#AAAAtg9w1WU
Matheus    (2023-03-26 19:19:49)
Last Month Investments Revenue</t>
      </text>
    </comment>
  </commentList>
  <extLst>
    <ext uri="GoogleSheetsCustomDataVersion1">
      <go:sheetsCustomData xmlns:go="http://customooxmlschemas.google.com/" r:id="rId1" roundtripDataSignature="AMtx7mhhJ6cqGqK3h6EdZkytatWXqdIEew=="/>
    </ext>
  </extLst>
</comments>
</file>

<file path=xl/sharedStrings.xml><?xml version="1.0" encoding="utf-8"?>
<sst xmlns="http://schemas.openxmlformats.org/spreadsheetml/2006/main" count="995" uniqueCount="69">
  <si>
    <t>Month</t>
  </si>
  <si>
    <t>Total</t>
  </si>
  <si>
    <t>College Stuff</t>
  </si>
  <si>
    <t>XPS</t>
  </si>
  <si>
    <t>Last Month Left.</t>
  </si>
  <si>
    <t>Total Income</t>
  </si>
  <si>
    <t>House Bills</t>
  </si>
  <si>
    <t/>
  </si>
  <si>
    <t>Invested Profit</t>
  </si>
  <si>
    <t>Unexpected</t>
  </si>
  <si>
    <t>Total Invested</t>
  </si>
  <si>
    <t>Total Liabilities</t>
  </si>
  <si>
    <t>Total Happiness</t>
  </si>
  <si>
    <t>The Oracle</t>
  </si>
  <si>
    <t>Assets</t>
  </si>
  <si>
    <t>Amount</t>
  </si>
  <si>
    <t>Month Of Sav.?</t>
  </si>
  <si>
    <t>Investments</t>
  </si>
  <si>
    <t>%</t>
  </si>
  <si>
    <t>Amo. Monthly</t>
  </si>
  <si>
    <t>Exp. Gro.</t>
  </si>
  <si>
    <t>Accumulated</t>
  </si>
  <si>
    <t>Monthly Profit</t>
  </si>
  <si>
    <t>Inv. Total</t>
  </si>
  <si>
    <t>Payment</t>
  </si>
  <si>
    <t>Amount Saved:</t>
  </si>
  <si>
    <t>Percent to Invest</t>
  </si>
  <si>
    <t>Expenses:</t>
  </si>
  <si>
    <t>Total Savings</t>
  </si>
  <si>
    <t>Liabilities</t>
  </si>
  <si>
    <t>Happiness</t>
  </si>
  <si>
    <t>Amo. Invested</t>
  </si>
  <si>
    <t>Profit Growth From Last Month</t>
  </si>
  <si>
    <t>Last Month</t>
  </si>
  <si>
    <t>Hanging Out</t>
  </si>
  <si>
    <t>Leftovers</t>
  </si>
  <si>
    <t>Food</t>
  </si>
  <si>
    <t>Invest. Profit</t>
  </si>
  <si>
    <t>Savings</t>
  </si>
  <si>
    <t>Next Month Left.</t>
  </si>
  <si>
    <t>Real Estate</t>
  </si>
  <si>
    <t>Copy Trading</t>
  </si>
  <si>
    <t>Stocks</t>
  </si>
  <si>
    <t>Income</t>
  </si>
  <si>
    <t>Amount Invested</t>
  </si>
  <si>
    <t>Profit</t>
  </si>
  <si>
    <t>Amo + Profit</t>
  </si>
  <si>
    <t>% Budget to Liability</t>
  </si>
  <si>
    <t>% Budget to Investments</t>
  </si>
  <si>
    <t>Profit Growth</t>
  </si>
  <si>
    <t>January</t>
  </si>
  <si>
    <t>February</t>
  </si>
  <si>
    <t>March</t>
  </si>
  <si>
    <t>April</t>
  </si>
  <si>
    <t>May</t>
  </si>
  <si>
    <t>June</t>
  </si>
  <si>
    <t>July</t>
  </si>
  <si>
    <t>August</t>
  </si>
  <si>
    <t>September</t>
  </si>
  <si>
    <t>October</t>
  </si>
  <si>
    <t>November</t>
  </si>
  <si>
    <t>December</t>
  </si>
  <si>
    <t>Liability List</t>
  </si>
  <si>
    <t>Happiness List</t>
  </si>
  <si>
    <t>Assets List</t>
  </si>
  <si>
    <t>Value</t>
  </si>
  <si>
    <t>Uniques</t>
  </si>
  <si>
    <t>Count</t>
  </si>
  <si>
    <t>Value Sum</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</si>
</sst>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_-&quot;R$&quot;* #,##0.00_-;\-&quot;R$&quot;* #,##0.00_-;_-&quot;R$&quot;* &quot;-&quot;??_-;_-@"/>
    <numFmt numFmtId="165" formatCode="&quot;$&quot;#,##0.00"/>
    <numFmt numFmtId="166" formatCode="0.0%"/>
    <numFmt numFmtId="167" formatCode="[$R$ -416]#,##0.00"/>
  </numFmts>
  <fonts count="12">
    <font>
      <sz val="11.0"/>
      <color theme="1"/>
      <name val="Bahnschrift light"/>
      <scheme val="minor"/>
    </font>
    <font>
      <color theme="1"/>
      <name val="Bahnschrift light"/>
      <scheme val="minor"/>
    </font>
    <font>
      <b/>
      <sz val="12.0"/>
      <color rgb="FFFF220C"/>
      <name val="Lexend"/>
    </font>
    <font/>
    <font>
      <b/>
      <sz val="12.0"/>
      <color rgb="FFE1E1E1"/>
      <name val="Lexend"/>
    </font>
    <font>
      <b/>
      <sz val="12.0"/>
      <color rgb="FF58EA9C"/>
      <name val="Lexend"/>
    </font>
    <font>
      <sz val="11.0"/>
      <color rgb="FFE1E1E1"/>
      <name val="Montserrat"/>
    </font>
    <font>
      <b/>
      <sz val="10.0"/>
      <color rgb="FFE1E1E1"/>
      <name val="Lexend"/>
    </font>
    <font>
      <sz val="11.0"/>
      <color theme="1"/>
      <name val="Bahnschrift"/>
    </font>
    <font>
      <sz val="11.0"/>
      <color theme="1"/>
      <name val="Arial"/>
    </font>
    <font>
      <sz val="11.0"/>
      <color theme="1"/>
      <name val="Bahnschrift light"/>
    </font>
    <font>
      <color theme="1"/>
      <name val="Arial"/>
    </font>
  </fonts>
  <fills count="3">
    <fill>
      <patternFill patternType="none"/>
    </fill>
    <fill>
      <patternFill patternType="lightGray"/>
    </fill>
    <fill>
      <patternFill patternType="solid">
        <fgColor rgb="FF0F2430"/>
        <bgColor rgb="FF0F2430"/>
      </patternFill>
    </fill>
  </fills>
  <borders count="78">
    <border/>
    <border>
      <left style="medium">
        <color rgb="FFFF220C"/>
      </left>
      <top style="medium">
        <color rgb="FFFF220C"/>
      </top>
    </border>
    <border>
      <right style="medium">
        <color rgb="FFFF220C"/>
      </right>
      <top style="medium">
        <color rgb="FFFF220C"/>
      </top>
    </border>
    <border>
      <left style="medium">
        <color rgb="FFE1E1E1"/>
      </left>
      <top style="medium">
        <color rgb="FFE1E1E1"/>
      </top>
    </border>
    <border>
      <right style="medium">
        <color rgb="FFE1E1E1"/>
      </right>
      <top style="medium">
        <color rgb="FFE1E1E1"/>
      </top>
    </border>
    <border>
      <left style="medium">
        <color rgb="FF58EA9C"/>
      </left>
      <top style="medium">
        <color rgb="FF58EA9C"/>
      </top>
    </border>
    <border>
      <right style="medium">
        <color rgb="FF58EA9C"/>
      </right>
      <top style="medium">
        <color rgb="FF58EA9C"/>
      </top>
    </border>
    <border>
      <left style="medium">
        <color rgb="FFFF220C"/>
      </left>
      <bottom style="medium">
        <color rgb="FFFF220C"/>
      </bottom>
    </border>
    <border>
      <right style="medium">
        <color rgb="FFFF220C"/>
      </right>
      <bottom style="medium">
        <color rgb="FFFF220C"/>
      </bottom>
    </border>
    <border>
      <left style="medium">
        <color rgb="FFE1E1E1"/>
      </left>
      <bottom style="medium">
        <color rgb="FFE1E1E1"/>
      </bottom>
    </border>
    <border>
      <right style="medium">
        <color rgb="FFE1E1E1"/>
      </right>
      <bottom style="medium">
        <color rgb="FFE1E1E1"/>
      </bottom>
    </border>
    <border>
      <left style="medium">
        <color rgb="FF58EA9C"/>
      </left>
      <bottom style="medium">
        <color rgb="FF58EA9C"/>
      </bottom>
    </border>
    <border>
      <right style="medium">
        <color rgb="FF58EA9C"/>
      </right>
      <bottom style="medium">
        <color rgb="FF58EA9C"/>
      </bottom>
    </border>
    <border>
      <left style="medium">
        <color rgb="FF1A4752"/>
      </left>
      <top style="medium">
        <color rgb="FF1A4752"/>
      </top>
    </border>
    <border>
      <top style="medium">
        <color rgb="FF1A4752"/>
      </top>
    </border>
    <border>
      <right style="medium">
        <color rgb="FF1A4752"/>
      </right>
      <top style="medium">
        <color rgb="FF1A4752"/>
      </top>
    </border>
    <border>
      <left style="medium">
        <color rgb="FFFF220C"/>
      </left>
      <bottom/>
    </border>
    <border>
      <left style="thin">
        <color rgb="FF1A4752"/>
      </left>
      <right style="medium">
        <color rgb="FFFF220C"/>
      </right>
      <bottom/>
    </border>
    <border>
      <left style="medium">
        <color rgb="FFE1E1E1"/>
      </left>
    </border>
    <border>
      <left style="thin">
        <color rgb="FF1A4752"/>
      </left>
      <right style="medium">
        <color rgb="FFE1E1E1"/>
      </right>
    </border>
    <border>
      <left style="medium">
        <color rgb="FF58EA9C"/>
      </left>
      <bottom/>
    </border>
    <border>
      <left style="thin">
        <color rgb="FF1A4752"/>
      </left>
      <right style="medium">
        <color rgb="FF58EA9C"/>
      </right>
      <bottom/>
    </border>
    <border>
      <left style="medium">
        <color rgb="FF1A4752"/>
      </left>
      <bottom style="medium">
        <color rgb="FF1A4752"/>
      </bottom>
    </border>
    <border>
      <bottom style="medium">
        <color rgb="FF1A4752"/>
      </bottom>
    </border>
    <border>
      <right style="medium">
        <color rgb="FF1A4752"/>
      </right>
      <bottom style="medium">
        <color rgb="FF1A4752"/>
      </bottom>
    </border>
    <border>
      <left style="medium">
        <color rgb="FFFF220C"/>
      </left>
      <top/>
      <bottom/>
    </border>
    <border>
      <left style="thin">
        <color rgb="FF1A4752"/>
      </left>
      <right style="medium">
        <color rgb="FFFF220C"/>
      </right>
      <top/>
      <bottom/>
    </border>
    <border>
      <left style="medium">
        <color rgb="FF58EA9C"/>
      </left>
      <top/>
      <bottom/>
    </border>
    <border>
      <left style="thin">
        <color rgb="FF1A4752"/>
      </left>
      <right style="medium">
        <color rgb="FF58EA9C"/>
      </right>
      <top/>
      <bottom/>
    </border>
    <border>
      <left style="medium">
        <color rgb="FF1A4752"/>
      </left>
      <bottom style="dotted">
        <color rgb="FF000000"/>
      </bottom>
    </border>
    <border>
      <bottom style="dotted">
        <color rgb="FF000000"/>
      </bottom>
    </border>
    <border>
      <right style="medium">
        <color rgb="FF1A4752"/>
      </right>
      <bottom style="dotted">
        <color rgb="FF000000"/>
      </bottom>
    </border>
    <border>
      <left style="medium">
        <color rgb="FF1A4752"/>
      </left>
    </border>
    <border>
      <right style="medium">
        <color rgb="FF1A4752"/>
      </right>
    </border>
    <border>
      <left style="medium">
        <color rgb="FFFF220C"/>
      </left>
      <top/>
      <bottom style="medium">
        <color rgb="FFFF220C"/>
      </bottom>
    </border>
    <border>
      <left style="thin">
        <color rgb="FF1A4752"/>
      </left>
      <right style="medium">
        <color rgb="FFFF220C"/>
      </right>
      <top/>
      <bottom style="medium">
        <color rgb="FFFF220C"/>
      </bottom>
    </border>
    <border>
      <left style="thin">
        <color rgb="FF1A4752"/>
      </left>
      <right style="medium">
        <color rgb="FFE1E1E1"/>
      </right>
      <bottom style="medium">
        <color rgb="FFE1E1E1"/>
      </bottom>
    </border>
    <border>
      <left style="medium">
        <color rgb="FF58EA9C"/>
      </left>
      <top/>
      <bottom style="medium">
        <color rgb="FF58EA9C"/>
      </bottom>
    </border>
    <border>
      <left style="thin">
        <color rgb="FF1A4752"/>
      </left>
      <right style="medium">
        <color rgb="FF58EA9C"/>
      </right>
      <top/>
      <bottom style="medium">
        <color rgb="FF58EA9C"/>
      </bottom>
    </border>
    <border>
      <left style="thin">
        <color rgb="FFE1E1E1"/>
      </left>
      <top style="thin">
        <color rgb="FFE1E1E1"/>
      </top>
    </border>
    <border>
      <top style="thin">
        <color rgb="FFE1E1E1"/>
      </top>
    </border>
    <border>
      <right style="thin">
        <color rgb="FFE1E1E1"/>
      </right>
      <top style="thin">
        <color rgb="FFE1E1E1"/>
      </top>
    </border>
    <border>
      <left style="medium">
        <color rgb="FF58EA9C"/>
      </left>
      <top style="medium">
        <color rgb="FF58EA9C"/>
      </top>
      <bottom style="medium">
        <color rgb="FF58EA9C"/>
      </bottom>
    </border>
    <border>
      <top style="medium">
        <color rgb="FF58EA9C"/>
      </top>
      <bottom style="medium">
        <color rgb="FF58EA9C"/>
      </bottom>
    </border>
    <border>
      <right style="medium">
        <color rgb="FF58EA9C"/>
      </right>
      <top style="medium">
        <color rgb="FF58EA9C"/>
      </top>
      <bottom style="medium">
        <color rgb="FF58EA9C"/>
      </bottom>
    </border>
    <border>
      <top style="medium">
        <color rgb="FF58EA9C"/>
      </top>
    </border>
    <border>
      <left style="medium">
        <color rgb="FFE1E1E1"/>
      </left>
      <top style="medium">
        <color rgb="FFE1E1E1"/>
      </top>
      <bottom style="medium">
        <color rgb="FFE1E1E1"/>
      </bottom>
    </border>
    <border>
      <top style="medium">
        <color rgb="FFE1E1E1"/>
      </top>
      <bottom style="medium">
        <color rgb="FFE1E1E1"/>
      </bottom>
    </border>
    <border>
      <right style="medium">
        <color rgb="FFE1E1E1"/>
      </right>
      <top style="medium">
        <color rgb="FFE1E1E1"/>
      </top>
      <bottom style="medium">
        <color rgb="FFE1E1E1"/>
      </bottom>
    </border>
    <border>
      <top style="medium">
        <color rgb="FFE1E1E1"/>
      </top>
    </border>
    <border>
      <right style="thin">
        <color rgb="FF1A4752"/>
      </right>
      <top style="medium">
        <color rgb="FFE1E1E1"/>
      </top>
    </border>
    <border>
      <bottom/>
    </border>
    <border>
      <left style="medium">
        <color rgb="FF58EA9C"/>
      </left>
    </border>
    <border>
      <right style="medium">
        <color rgb="FF58EA9C"/>
      </right>
    </border>
    <border>
      <right style="thin">
        <color rgb="FF1A4752"/>
      </right>
    </border>
    <border>
      <left style="thin">
        <color rgb="FF1A4752"/>
      </left>
    </border>
    <border>
      <right style="medium">
        <color rgb="FFE1E1E1"/>
      </right>
    </border>
    <border>
      <left style="thin">
        <color rgb="FFE1E1E1"/>
      </left>
    </border>
    <border>
      <right style="thin">
        <color rgb="FFE1E1E1"/>
      </right>
    </border>
    <border>
      <bottom style="medium">
        <color rgb="FFE1E1E1"/>
      </bottom>
    </border>
    <border>
      <left style="medium">
        <color rgb="FFFF220C"/>
      </left>
      <top style="medium">
        <color rgb="FFFF220C"/>
      </top>
      <bottom style="medium">
        <color rgb="FFFF220C"/>
      </bottom>
    </border>
    <border>
      <top style="medium">
        <color rgb="FFFF220C"/>
      </top>
      <bottom style="medium">
        <color rgb="FFFF220C"/>
      </bottom>
    </border>
    <border>
      <right style="medium">
        <color rgb="FFFF220C"/>
      </right>
      <top style="medium">
        <color rgb="FFFF220C"/>
      </top>
      <bottom style="medium">
        <color rgb="FFFF220C"/>
      </bottom>
    </border>
    <border>
      <left style="thin">
        <color rgb="FFFF220C"/>
      </left>
      <top style="thin">
        <color rgb="FFFF220C"/>
      </top>
      <bottom style="medium">
        <color rgb="FFFF220C"/>
      </bottom>
    </border>
    <border>
      <top style="thin">
        <color rgb="FFFF220C"/>
      </top>
      <bottom style="medium">
        <color rgb="FFFF220C"/>
      </bottom>
    </border>
    <border>
      <right style="thin">
        <color rgb="FFFF220C"/>
      </right>
      <top style="thin">
        <color rgb="FFFF220C"/>
      </top>
      <bottom style="medium">
        <color rgb="FFFF220C"/>
      </bottom>
    </border>
    <border>
      <right style="medium">
        <color rgb="FFFF220C"/>
      </right>
      <bottom/>
    </border>
    <border>
      <left style="thin">
        <color rgb="FFFF220C"/>
      </left>
    </border>
    <border>
      <right style="thin">
        <color rgb="FFFF220C"/>
      </right>
    </border>
    <border>
      <left style="medium">
        <color rgb="FFE1E1E1"/>
      </left>
      <bottom/>
    </border>
    <border>
      <right style="medium">
        <color rgb="FFE1E1E1"/>
      </right>
      <bottom/>
    </border>
    <border>
      <left style="thin">
        <color rgb="FFE1E1E1"/>
      </left>
      <bottom style="thin">
        <color rgb="FFE1E1E1"/>
      </bottom>
    </border>
    <border>
      <bottom style="thin">
        <color rgb="FFE1E1E1"/>
      </bottom>
    </border>
    <border>
      <right style="thin">
        <color rgb="FFE1E1E1"/>
      </right>
      <bottom style="thin">
        <color rgb="FFE1E1E1"/>
      </bottom>
    </border>
    <border>
      <bottom style="medium">
        <color rgb="FFFF220C"/>
      </bottom>
    </border>
    <border>
      <left style="thin">
        <color rgb="FFFF220C"/>
      </left>
      <bottom style="thin">
        <color rgb="FFFF220C"/>
      </bottom>
    </border>
    <border>
      <bottom style="thin">
        <color rgb="FFFF220C"/>
      </bottom>
    </border>
    <border>
      <right style="thin">
        <color rgb="FFFF220C"/>
      </right>
      <bottom style="thin">
        <color rgb="FFFF220C"/>
      </bottom>
    </border>
  </borders>
  <cellStyleXfs count="1">
    <xf borderId="0" fillId="0" fontId="0" numFmtId="0" applyAlignment="1" applyFont="1"/>
  </cellStyleXfs>
  <cellXfs count="124">
    <xf borderId="0" fillId="0" fontId="0" numFmtId="0" xfId="0" applyAlignment="1" applyFont="1">
      <alignment readingOrder="0" shrinkToFit="0" vertical="bottom" wrapText="0"/>
    </xf>
    <xf borderId="0" fillId="2" fontId="1" numFmtId="0" xfId="0" applyFill="1" applyFont="1"/>
    <xf borderId="1" fillId="2" fontId="2" numFmtId="0" xfId="0" applyAlignment="1" applyBorder="1" applyFont="1">
      <alignment horizontal="center" shrinkToFit="0" vertical="top" wrapText="1"/>
    </xf>
    <xf borderId="2" fillId="0" fontId="3" numFmtId="0" xfId="0" applyBorder="1" applyFont="1"/>
    <xf borderId="3" fillId="2" fontId="4" numFmtId="0" xfId="0" applyAlignment="1" applyBorder="1" applyFont="1">
      <alignment horizontal="center" shrinkToFit="0" vertical="top" wrapText="1"/>
    </xf>
    <xf borderId="4" fillId="0" fontId="3" numFmtId="0" xfId="0" applyBorder="1" applyFont="1"/>
    <xf borderId="5" fillId="2" fontId="5" numFmtId="0" xfId="0" applyAlignment="1" applyBorder="1" applyFont="1">
      <alignment horizontal="center" shrinkToFit="0" vertical="top" wrapText="1"/>
    </xf>
    <xf borderId="6" fillId="0" fontId="3" numFmtId="0" xfId="0" applyBorder="1" applyFont="1"/>
    <xf borderId="7" fillId="0" fontId="3" numFmtId="0" xfId="0" applyBorder="1" applyFont="1"/>
    <xf borderId="8" fillId="0" fontId="3" numFmtId="0" xfId="0" applyBorder="1" applyFont="1"/>
    <xf borderId="9" fillId="0" fontId="3" numFmtId="0" xfId="0" applyBorder="1" applyFont="1"/>
    <xf borderId="10" fillId="0" fontId="3" numFmtId="0" xfId="0" applyBorder="1" applyFont="1"/>
    <xf borderId="11" fillId="0" fontId="3" numFmtId="0" xfId="0" applyBorder="1" applyFont="1"/>
    <xf borderId="12" fillId="0" fontId="3" numFmtId="0" xfId="0" applyBorder="1" applyFont="1"/>
    <xf borderId="13" fillId="2" fontId="6" numFmtId="0" xfId="0" applyAlignment="1" applyBorder="1" applyFont="1">
      <alignment horizontal="center"/>
    </xf>
    <xf borderId="14" fillId="0" fontId="3" numFmtId="0" xfId="0" applyBorder="1" applyFont="1"/>
    <xf borderId="15" fillId="0" fontId="3" numFmtId="0" xfId="0" applyBorder="1" applyFont="1"/>
    <xf borderId="16" fillId="2" fontId="6" numFmtId="164" xfId="0" applyBorder="1" applyFont="1" applyNumberFormat="1"/>
    <xf borderId="17" fillId="2" fontId="6" numFmtId="165" xfId="0" applyBorder="1" applyFont="1" applyNumberFormat="1"/>
    <xf borderId="18" fillId="2" fontId="6" numFmtId="0" xfId="0" applyBorder="1" applyFont="1"/>
    <xf borderId="19" fillId="2" fontId="6" numFmtId="165" xfId="0" applyBorder="1" applyFont="1" applyNumberFormat="1"/>
    <xf borderId="20" fillId="2" fontId="6" numFmtId="0" xfId="0" applyBorder="1" applyFont="1"/>
    <xf borderId="21" fillId="2" fontId="6" numFmtId="165" xfId="0" applyBorder="1" applyFont="1" applyNumberFormat="1"/>
    <xf borderId="22" fillId="2" fontId="6" numFmtId="0" xfId="0" applyAlignment="1" applyBorder="1" applyFont="1">
      <alignment horizontal="center" readingOrder="0"/>
    </xf>
    <xf borderId="23" fillId="0" fontId="3" numFmtId="0" xfId="0" applyBorder="1" applyFont="1"/>
    <xf borderId="24" fillId="0" fontId="3" numFmtId="0" xfId="0" applyBorder="1" applyFont="1"/>
    <xf borderId="25" fillId="2" fontId="6" numFmtId="164" xfId="0" applyBorder="1" applyFont="1" applyNumberFormat="1"/>
    <xf borderId="26" fillId="2" fontId="6" numFmtId="165" xfId="0" applyBorder="1" applyFont="1" applyNumberFormat="1"/>
    <xf borderId="27" fillId="2" fontId="6" numFmtId="0" xfId="0" applyBorder="1" applyFont="1"/>
    <xf borderId="28" fillId="2" fontId="6" numFmtId="165" xfId="0" applyBorder="1" applyFont="1" applyNumberFormat="1"/>
    <xf borderId="29" fillId="2" fontId="6" numFmtId="165" xfId="0" applyAlignment="1" applyBorder="1" applyFont="1" applyNumberFormat="1">
      <alignment horizontal="center"/>
    </xf>
    <xf borderId="30" fillId="0" fontId="3" numFmtId="0" xfId="0" applyBorder="1" applyFont="1"/>
    <xf borderId="31" fillId="0" fontId="3" numFmtId="0" xfId="0" applyBorder="1" applyFont="1"/>
    <xf borderId="32" fillId="2" fontId="6" numFmtId="0" xfId="0" applyAlignment="1" applyBorder="1" applyFont="1">
      <alignment horizontal="center" readingOrder="0"/>
    </xf>
    <xf borderId="33" fillId="0" fontId="3" numFmtId="0" xfId="0" applyBorder="1" applyFont="1"/>
    <xf borderId="32" fillId="2" fontId="6" numFmtId="0" xfId="0" applyAlignment="1" applyBorder="1" applyFont="1">
      <alignment horizontal="center"/>
    </xf>
    <xf borderId="22" fillId="2" fontId="6" numFmtId="165" xfId="0" applyAlignment="1" applyBorder="1" applyFont="1" applyNumberFormat="1">
      <alignment horizontal="center"/>
    </xf>
    <xf borderId="34" fillId="2" fontId="6" numFmtId="164" xfId="0" applyBorder="1" applyFont="1" applyNumberFormat="1"/>
    <xf borderId="35" fillId="2" fontId="6" numFmtId="165" xfId="0" applyBorder="1" applyFont="1" applyNumberFormat="1"/>
    <xf borderId="9" fillId="2" fontId="6" numFmtId="0" xfId="0" applyBorder="1" applyFont="1"/>
    <xf borderId="36" fillId="2" fontId="6" numFmtId="165" xfId="0" applyBorder="1" applyFont="1" applyNumberFormat="1"/>
    <xf borderId="37" fillId="2" fontId="6" numFmtId="0" xfId="0" applyBorder="1" applyFont="1"/>
    <xf borderId="38" fillId="2" fontId="6" numFmtId="165" xfId="0" applyBorder="1" applyFont="1" applyNumberFormat="1"/>
    <xf borderId="39" fillId="2" fontId="4" numFmtId="0" xfId="0" applyAlignment="1" applyBorder="1" applyFont="1">
      <alignment horizontal="center" shrinkToFit="0" vertical="top" wrapText="1"/>
    </xf>
    <xf borderId="40" fillId="0" fontId="3" numFmtId="0" xfId="0" applyBorder="1" applyFont="1"/>
    <xf borderId="41" fillId="0" fontId="3" numFmtId="0" xfId="0" applyBorder="1" applyFont="1"/>
    <xf borderId="42" fillId="2" fontId="5" numFmtId="0" xfId="0" applyAlignment="1" applyBorder="1" applyFont="1">
      <alignment horizontal="center" shrinkToFit="0" vertical="top" wrapText="1"/>
    </xf>
    <xf borderId="43" fillId="0" fontId="3" numFmtId="0" xfId="0" applyBorder="1" applyFont="1"/>
    <xf borderId="44" fillId="0" fontId="3" numFmtId="0" xfId="0" applyBorder="1" applyFont="1"/>
    <xf borderId="45" fillId="0" fontId="3" numFmtId="0" xfId="0" applyBorder="1" applyFont="1"/>
    <xf borderId="46" fillId="2" fontId="6" numFmtId="2" xfId="0" applyAlignment="1" applyBorder="1" applyFont="1" applyNumberFormat="1">
      <alignment horizontal="right" readingOrder="0"/>
    </xf>
    <xf borderId="47" fillId="0" fontId="3" numFmtId="0" xfId="0" applyBorder="1" applyFont="1"/>
    <xf borderId="48" fillId="0" fontId="3" numFmtId="0" xfId="0" applyBorder="1" applyFont="1"/>
    <xf borderId="3" fillId="2" fontId="1" numFmtId="0" xfId="0" applyBorder="1" applyFont="1"/>
    <xf borderId="49" fillId="2" fontId="1" numFmtId="0" xfId="0" applyAlignment="1" applyBorder="1" applyFont="1">
      <alignment readingOrder="0"/>
    </xf>
    <xf borderId="49" fillId="2" fontId="1" numFmtId="0" xfId="0" applyBorder="1" applyFont="1"/>
    <xf borderId="4" fillId="2" fontId="1" numFmtId="0" xfId="0" applyBorder="1" applyFont="1"/>
    <xf borderId="46" fillId="2" fontId="4" numFmtId="0" xfId="0" applyAlignment="1" applyBorder="1" applyFont="1">
      <alignment horizontal="center" shrinkToFit="0" vertical="top" wrapText="1"/>
    </xf>
    <xf borderId="49" fillId="2" fontId="4" numFmtId="0" xfId="0" applyAlignment="1" applyBorder="1" applyFont="1">
      <alignment horizontal="center" readingOrder="0" shrinkToFit="0" vertical="top" wrapText="1"/>
    </xf>
    <xf borderId="49" fillId="0" fontId="3" numFmtId="0" xfId="0" applyBorder="1" applyFont="1"/>
    <xf borderId="50" fillId="0" fontId="3" numFmtId="0" xfId="0" applyBorder="1" applyFont="1"/>
    <xf borderId="49" fillId="2" fontId="7" numFmtId="0" xfId="0" applyAlignment="1" applyBorder="1" applyFont="1">
      <alignment horizontal="center" shrinkToFit="0" vertical="top" wrapText="1"/>
    </xf>
    <xf borderId="49" fillId="2" fontId="4" numFmtId="0" xfId="0" applyAlignment="1" applyBorder="1" applyFont="1">
      <alignment horizontal="center" shrinkToFit="0" vertical="top" wrapText="1"/>
    </xf>
    <xf borderId="39" fillId="2" fontId="6" numFmtId="0" xfId="0" applyAlignment="1" applyBorder="1" applyFont="1">
      <alignment horizontal="center" shrinkToFit="0" vertical="center" wrapText="1"/>
    </xf>
    <xf borderId="20" fillId="2" fontId="6" numFmtId="2" xfId="0" applyAlignment="1" applyBorder="1" applyFont="1" applyNumberFormat="1">
      <alignment horizontal="right" readingOrder="0"/>
    </xf>
    <xf borderId="51" fillId="0" fontId="3" numFmtId="0" xfId="0" applyBorder="1" applyFont="1"/>
    <xf borderId="52" fillId="2" fontId="6" numFmtId="165" xfId="0" applyAlignment="1" applyBorder="1" applyFont="1" applyNumberFormat="1">
      <alignment horizontal="right" readingOrder="0"/>
    </xf>
    <xf borderId="53" fillId="0" fontId="3" numFmtId="0" xfId="0" applyBorder="1" applyFont="1"/>
    <xf borderId="46" fillId="2" fontId="6" numFmtId="165" xfId="0" applyAlignment="1" applyBorder="1" applyFont="1" applyNumberFormat="1">
      <alignment horizontal="right" readingOrder="0"/>
    </xf>
    <xf borderId="18" fillId="2" fontId="6" numFmtId="2" xfId="0" applyAlignment="1" applyBorder="1" applyFont="1" applyNumberFormat="1">
      <alignment horizontal="right" readingOrder="0"/>
    </xf>
    <xf borderId="54" fillId="0" fontId="3" numFmtId="0" xfId="0" applyBorder="1" applyFont="1"/>
    <xf borderId="0" fillId="2" fontId="6" numFmtId="166" xfId="0" applyAlignment="1" applyFont="1" applyNumberFormat="1">
      <alignment horizontal="right" readingOrder="0"/>
    </xf>
    <xf borderId="0" fillId="2" fontId="6" numFmtId="165" xfId="0" applyAlignment="1" applyFont="1" applyNumberFormat="1">
      <alignment horizontal="right" readingOrder="0"/>
    </xf>
    <xf borderId="0" fillId="2" fontId="6" numFmtId="167" xfId="0" applyAlignment="1" applyFont="1" applyNumberFormat="1">
      <alignment horizontal="right" readingOrder="0"/>
    </xf>
    <xf borderId="55" fillId="2" fontId="6" numFmtId="165" xfId="0" applyAlignment="1" applyBorder="1" applyFont="1" applyNumberFormat="1">
      <alignment horizontal="right" readingOrder="0"/>
    </xf>
    <xf borderId="56" fillId="0" fontId="3" numFmtId="0" xfId="0" applyBorder="1" applyFont="1"/>
    <xf borderId="57" fillId="0" fontId="3" numFmtId="0" xfId="0" applyBorder="1" applyFont="1"/>
    <xf borderId="58" fillId="0" fontId="3" numFmtId="0" xfId="0" applyBorder="1" applyFont="1"/>
    <xf borderId="3" fillId="2" fontId="6" numFmtId="2" xfId="0" applyAlignment="1" applyBorder="1" applyFont="1" applyNumberFormat="1">
      <alignment horizontal="right" readingOrder="0"/>
    </xf>
    <xf borderId="49" fillId="2" fontId="6" numFmtId="166" xfId="0" applyAlignment="1" applyBorder="1" applyFont="1" applyNumberFormat="1">
      <alignment horizontal="right" readingOrder="0"/>
    </xf>
    <xf borderId="3" fillId="2" fontId="6" numFmtId="0" xfId="0" applyAlignment="1" applyBorder="1" applyFont="1">
      <alignment horizontal="center" shrinkToFit="0" vertical="center" wrapText="1"/>
    </xf>
    <xf borderId="18" fillId="0" fontId="3" numFmtId="0" xfId="0" applyBorder="1" applyFont="1"/>
    <xf borderId="59" fillId="0" fontId="3" numFmtId="0" xfId="0" applyBorder="1" applyFont="1"/>
    <xf borderId="46" fillId="2" fontId="6" numFmtId="0" xfId="0" applyAlignment="1" applyBorder="1" applyFont="1">
      <alignment horizontal="center" shrinkToFit="0" vertical="center" wrapText="1"/>
    </xf>
    <xf borderId="52" fillId="2" fontId="6" numFmtId="2" xfId="0" applyAlignment="1" applyBorder="1" applyFont="1" applyNumberFormat="1">
      <alignment horizontal="right" readingOrder="0"/>
    </xf>
    <xf borderId="60" fillId="2" fontId="2" numFmtId="0" xfId="0" applyAlignment="1" applyBorder="1" applyFont="1">
      <alignment horizontal="center" shrinkToFit="0" vertical="top" wrapText="1"/>
    </xf>
    <xf borderId="61" fillId="0" fontId="3" numFmtId="0" xfId="0" applyBorder="1" applyFont="1"/>
    <xf borderId="62" fillId="0" fontId="3" numFmtId="0" xfId="0" applyBorder="1" applyFont="1"/>
    <xf borderId="63" fillId="2" fontId="2" numFmtId="0" xfId="0" applyAlignment="1" applyBorder="1" applyFont="1">
      <alignment horizontal="center" shrinkToFit="0" vertical="top" wrapText="1"/>
    </xf>
    <xf borderId="64" fillId="0" fontId="3" numFmtId="0" xfId="0" applyBorder="1" applyFont="1"/>
    <xf borderId="65" fillId="0" fontId="3" numFmtId="0" xfId="0" applyBorder="1" applyFont="1"/>
    <xf borderId="13" fillId="2" fontId="6" numFmtId="0" xfId="0" applyAlignment="1" applyBorder="1" applyFont="1">
      <alignment horizontal="center" readingOrder="0" shrinkToFit="0" wrapText="1"/>
    </xf>
    <xf borderId="46" fillId="2" fontId="4" numFmtId="0" xfId="0" applyAlignment="1" applyBorder="1" applyFont="1">
      <alignment horizontal="center" readingOrder="0" shrinkToFit="0" vertical="top" wrapText="1"/>
    </xf>
    <xf borderId="16" fillId="2" fontId="6" numFmtId="2" xfId="0" applyAlignment="1" applyBorder="1" applyFont="1" applyNumberFormat="1">
      <alignment horizontal="right" readingOrder="0"/>
    </xf>
    <xf borderId="66" fillId="0" fontId="3" numFmtId="0" xfId="0" applyBorder="1" applyFont="1"/>
    <xf borderId="67" fillId="2" fontId="6" numFmtId="165" xfId="0" applyAlignment="1" applyBorder="1" applyFont="1" applyNumberFormat="1">
      <alignment horizontal="right" readingOrder="0"/>
    </xf>
    <xf borderId="68" fillId="0" fontId="3" numFmtId="0" xfId="0" applyBorder="1" applyFont="1"/>
    <xf borderId="69" fillId="2" fontId="6" numFmtId="2" xfId="0" applyAlignment="1" applyBorder="1" applyFont="1" applyNumberFormat="1">
      <alignment horizontal="right" readingOrder="0"/>
    </xf>
    <xf borderId="70" fillId="0" fontId="3" numFmtId="0" xfId="0" applyBorder="1" applyFont="1"/>
    <xf borderId="18" fillId="2" fontId="6" numFmtId="165" xfId="0" applyAlignment="1" applyBorder="1" applyFont="1" applyNumberFormat="1">
      <alignment horizontal="right" readingOrder="0"/>
    </xf>
    <xf borderId="32" fillId="0" fontId="3" numFmtId="0" xfId="0" applyBorder="1" applyFont="1"/>
    <xf borderId="13" fillId="2" fontId="6" numFmtId="0" xfId="0" applyAlignment="1" applyBorder="1" applyFont="1">
      <alignment horizontal="center" readingOrder="0"/>
    </xf>
    <xf borderId="22" fillId="2" fontId="6" numFmtId="10" xfId="0" applyAlignment="1" applyBorder="1" applyFont="1" applyNumberFormat="1">
      <alignment horizontal="center"/>
    </xf>
    <xf borderId="71" fillId="0" fontId="3" numFmtId="0" xfId="0" applyBorder="1" applyFont="1"/>
    <xf borderId="72" fillId="0" fontId="3" numFmtId="0" xfId="0" applyBorder="1" applyFont="1"/>
    <xf borderId="73" fillId="0" fontId="3" numFmtId="0" xfId="0" applyBorder="1" applyFont="1"/>
    <xf borderId="7" fillId="2" fontId="6" numFmtId="2" xfId="0" applyAlignment="1" applyBorder="1" applyFont="1" applyNumberFormat="1">
      <alignment horizontal="right" readingOrder="0"/>
    </xf>
    <xf borderId="74" fillId="0" fontId="3" numFmtId="0" xfId="0" applyBorder="1" applyFont="1"/>
    <xf borderId="75" fillId="2" fontId="6" numFmtId="165" xfId="0" applyAlignment="1" applyBorder="1" applyFont="1" applyNumberFormat="1">
      <alignment horizontal="right" readingOrder="0"/>
    </xf>
    <xf borderId="76" fillId="0" fontId="3" numFmtId="0" xfId="0" applyBorder="1" applyFont="1"/>
    <xf borderId="77" fillId="0" fontId="3" numFmtId="0" xfId="0" applyBorder="1" applyFont="1"/>
    <xf borderId="0" fillId="0" fontId="8" numFmtId="0" xfId="0" applyFont="1"/>
    <xf borderId="0" fillId="0" fontId="8" numFmtId="0" xfId="0" applyAlignment="1" applyFont="1">
      <alignment horizontal="center"/>
    </xf>
    <xf borderId="0" fillId="0" fontId="9" numFmtId="0" xfId="0" applyAlignment="1" applyFont="1">
      <alignment horizontal="center" readingOrder="0"/>
    </xf>
    <xf borderId="0" fillId="0" fontId="1" numFmtId="0" xfId="0" applyFont="1"/>
    <xf borderId="0" fillId="0" fontId="10" numFmtId="164" xfId="0" applyFont="1" applyNumberFormat="1"/>
    <xf borderId="0" fillId="0" fontId="9" numFmtId="164" xfId="0" applyAlignment="1" applyFont="1" applyNumberFormat="1">
      <alignment readingOrder="0"/>
    </xf>
    <xf borderId="0" fillId="0" fontId="10" numFmtId="166" xfId="0" applyFont="1" applyNumberFormat="1"/>
    <xf borderId="0" fillId="0" fontId="10" numFmtId="9" xfId="0" applyFont="1" applyNumberFormat="1"/>
    <xf borderId="0" fillId="0" fontId="11" numFmtId="0" xfId="0" applyAlignment="1" applyFont="1">
      <alignment readingOrder="0"/>
    </xf>
    <xf borderId="0" fillId="0" fontId="10" numFmtId="10" xfId="0" applyFont="1" applyNumberFormat="1"/>
    <xf borderId="0" fillId="0" fontId="10" numFmtId="0" xfId="0" applyAlignment="1" applyFont="1">
      <alignment horizontal="center"/>
    </xf>
    <xf borderId="0" fillId="0" fontId="10" numFmtId="2" xfId="0" applyFont="1" applyNumberFormat="1"/>
    <xf borderId="0" fillId="0" fontId="10"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0F2430"/>
      </a:lt1>
      <a:dk2>
        <a:srgbClr val="000000"/>
      </a:dk2>
      <a:lt2>
        <a:srgbClr val="0F2430"/>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bahnschrift light"/>
        <a:ea typeface="bahnschrift light"/>
        <a:cs typeface="bahnschrift light"/>
      </a:majorFont>
      <a:minorFont>
        <a:latin typeface="bahnschrift light"/>
        <a:ea typeface="bahnschrift light"/>
        <a:cs typeface="bahnschrift light"/>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0.75"/>
    <col customWidth="1" min="2" max="2" width="18.88"/>
    <col customWidth="1" min="3" max="3" width="14.5"/>
    <col customWidth="1" min="4" max="4" width="0.75"/>
    <col customWidth="1" min="5" max="5" width="18.88"/>
    <col customWidth="1" min="6" max="6" width="14.5"/>
    <col customWidth="1" min="7" max="7" width="0.75"/>
    <col customWidth="1" min="8" max="8" width="18.88"/>
    <col customWidth="1" min="9" max="9" width="14.5"/>
    <col customWidth="1" min="10" max="10" width="0.75"/>
    <col customWidth="1" min="11" max="17" width="2.25"/>
    <col customWidth="1" min="18" max="18" width="0.75"/>
  </cols>
  <sheetData>
    <row r="1" ht="5.25" customHeight="1">
      <c r="A1" s="1"/>
      <c r="B1" s="1"/>
      <c r="C1" s="1"/>
      <c r="D1" s="1"/>
      <c r="E1" s="1"/>
      <c r="F1" s="1"/>
      <c r="G1" s="1"/>
      <c r="H1" s="1"/>
      <c r="I1" s="1"/>
      <c r="J1" s="1"/>
      <c r="K1" s="1"/>
      <c r="L1" s="1"/>
      <c r="M1" s="1"/>
      <c r="N1" s="1"/>
      <c r="O1" s="1"/>
      <c r="P1" s="1"/>
      <c r="Q1" s="1"/>
      <c r="R1" s="1"/>
    </row>
    <row r="2" ht="15.0" customHeight="1">
      <c r="A2" s="1"/>
      <c r="B2" s="2" t="str">
        <f>IF(K4="Total","Liabilities Over Whole Year",
   "Cash Spent in Liabilities in "&amp;K4)</f>
        <v>Liabilities Over Whole Year</v>
      </c>
      <c r="C2" s="3"/>
      <c r="D2" s="1"/>
      <c r="E2" s="4" t="str">
        <f>IF(K4="Total","Happiness Over Whole Year",
   "Cash Spent in Happiness in "&amp;K4)</f>
        <v>Happiness Over Whole Year</v>
      </c>
      <c r="F2" s="5"/>
      <c r="G2" s="1"/>
      <c r="H2" s="6" t="str">
        <f>IF(K4="Total","Assets Over Whole Year",
   "Cash Earned in "&amp;K4)</f>
        <v>Assets Over Whole Year</v>
      </c>
      <c r="I2" s="7"/>
      <c r="J2" s="1"/>
      <c r="K2" s="1"/>
      <c r="L2" s="1"/>
      <c r="M2" s="1"/>
      <c r="N2" s="1"/>
      <c r="O2" s="1"/>
      <c r="P2" s="1"/>
      <c r="Q2" s="1"/>
      <c r="R2" s="1"/>
    </row>
    <row r="3" ht="15.0" customHeight="1">
      <c r="A3" s="1"/>
      <c r="B3" s="8"/>
      <c r="C3" s="9"/>
      <c r="D3" s="1"/>
      <c r="E3" s="10"/>
      <c r="F3" s="11"/>
      <c r="G3" s="1"/>
      <c r="H3" s="12"/>
      <c r="I3" s="13"/>
      <c r="J3" s="1"/>
      <c r="K3" s="14" t="s">
        <v>0</v>
      </c>
      <c r="L3" s="15"/>
      <c r="M3" s="15"/>
      <c r="N3" s="15"/>
      <c r="O3" s="15"/>
      <c r="P3" s="15"/>
      <c r="Q3" s="16"/>
      <c r="R3" s="1"/>
    </row>
    <row r="4">
      <c r="A4" s="1"/>
      <c r="B4" s="17" t="str">
        <f t="array" ref="B4:B15">IF(K4="Total",Database!C18:C37,
   IF(K4="January",Database!A18:A29,
      IF(K4="February",Database!A30:R41,
         IF(K4="March",Database!A42:A53,
            IF(K4="April",Database!A54:A65,
               IF(K4="May",Database!A66:A77,
                  IF(K4="June",Database!A78:A89,
                     IF(K4="July",Database!A90:A101,
                        IF(K4="August",Database!A102:A113,
                           IF(K4="September",Database!A114:A125,
                              IF(K4="October",Database!A126:A137,
                                 IF(K4="November",Database!A138:A149,
                                    IF(K4="December",Database!A150:A161,"")))))))))))))</f>
        <v>Food</v>
      </c>
      <c r="C4" s="18">
        <f t="array" ref="C4:C15">IF(K4="Total",Database!E18:E37,
   IF(K4="January",Database!B18:B29,
      IF(K4="February",Database!B30:B41,
         IF(K4="March",Database!B42:B53,
            IF(K4="April",Database!B54:B65,
               IF(K4="May",Database!B66:B77,
                  IF(K4="June",Database!B78:B89,
                     IF(K4="July",Database!B90:B101,
                        IF(K4="August",Database!B102:B113,
                           IF(K4="September",Database!B114:B125,
                              IF(K4="October",Database!B126:B137,
                                 IF(K4="November",Database!B138:B149,
                                    IF(K4="December",Database!B150:B161,"")))))))))))))</f>
        <v>1200</v>
      </c>
      <c r="D4" s="1"/>
      <c r="E4" s="19" t="str">
        <f t="array" ref="E4:E10">IF(K4="Total",Database!H18:H37,
   IF(K4="January",Database!F18:F24,
      IF(K4="February",Database!F25:F31,
         IF(K4="March",Database!F33:F38,
            IF(K4="April",Database!F40:F45,
               IF(K4="May",Database!F47:F52,
                  IF(K4="June",Database!F54:F59,
                     IF(K4="July",Database!F61:F66,
                        IF(K4="August",Database!F68:F73,
                           IF(K4="September",Database!F75:F80,
                              IF(K4="October",Database!F82:F87,
                                 IF(K4="November",Database!F89:F94,
                                    IF(K4="December",Database!F96:F101,"")))))))))))))</f>
        <v>Hanging Out</v>
      </c>
      <c r="F4" s="20">
        <f t="array" ref="F4:F10">IF(K4="Total",Database!J18:J37,
   IF(K4="January",Database!G18:G24,
      IF(K4="February",Database!G25:G31,
         IF(K4="March",Database!G33:G38,
            IF(K4="April",Database!G40:G45,
               IF(K4="May",Database!G47:G52,
                  IF(K4="June",Database!G54:G59,
                     IF(K4="July",Database!G61:G66,
                        IF(K4="August",Database!G68:G73,
                           IF(K4="September",Database!G75:G80,
                              IF(K4="October",Database!G82:G87,
                                 IF(K4="November",Database!G89:G94,
                                    IF(K4="December",Database!G96:G101,"")))))))))))))</f>
        <v>600</v>
      </c>
      <c r="G4" s="1"/>
      <c r="H4" s="21" t="str">
        <f t="array" ref="H4:H10">IF(K4="Total",Database!M18:M37,
   IF(K4="January",Database!K18:K24,
      IF(K4="February",Database!K25:K31,
         IF(K4="March",Database!K32:K38,
            IF(K4="April",Database!K39:K45,
               IF(K4="May",Database!K46:K52,
                  IF(K4="June",Database!K53:K59,
                     IF(K4="July",Database!K60:K66,
                        IF(K4="August",Database!K67:K73,
                           IF(K4="September",Database!K74:K80,
                              IF(K4="October",Database!K81:K87,
                                 IF(K4="November",Database!K88:K94,
                                    IF(K4="December",Database!K95:K101,"")))))))))))))</f>
        <v>Payment</v>
      </c>
      <c r="I4" s="22">
        <f t="array" ref="I4:I10">IF(K4="Total",Database!O18:O37,
   IF(K4="January",Database!L18:R24,
      IF(K4="February",Database!L25:R31,
         IF(K4="March",Database!L32:R38,
            IF(K4="April",Database!L39:R45,
               IF(K4="May",Database!L46:R52,
                  IF(K4="June",Database!L53:R59,
                     IF(K4="July",Database!L60:R66,
                        IF(K4="August",Database!L67:R73,
                           IF(K4="September",Database!L74:R80,
                              IF(K4="October",Database!L81:R87,
                                 IF(K4="November",Database!L88:R94,
                                    IF(K4="December",Database!L95:R101,"")))))))))))))</f>
        <v>18000</v>
      </c>
      <c r="J4" s="1"/>
      <c r="K4" s="23" t="s">
        <v>1</v>
      </c>
      <c r="L4" s="24"/>
      <c r="M4" s="24"/>
      <c r="N4" s="24"/>
      <c r="O4" s="24"/>
      <c r="P4" s="24"/>
      <c r="Q4" s="25"/>
      <c r="R4" s="1"/>
    </row>
    <row r="5" ht="15.0" customHeight="1">
      <c r="A5" s="1"/>
      <c r="B5" s="26" t="s">
        <v>2</v>
      </c>
      <c r="C5" s="27">
        <v>168.0</v>
      </c>
      <c r="D5" s="1"/>
      <c r="E5" s="19" t="s">
        <v>3</v>
      </c>
      <c r="F5" s="20">
        <v>1750.0</v>
      </c>
      <c r="G5" s="1"/>
      <c r="H5" s="28" t="s">
        <v>4</v>
      </c>
      <c r="I5" s="29">
        <v>2898.0254916713493</v>
      </c>
      <c r="J5" s="1"/>
      <c r="K5" s="14" t="s">
        <v>5</v>
      </c>
      <c r="L5" s="15"/>
      <c r="M5" s="15"/>
      <c r="N5" s="15"/>
      <c r="O5" s="15"/>
      <c r="P5" s="15"/>
      <c r="Q5" s="16"/>
      <c r="R5" s="1"/>
    </row>
    <row r="6" ht="15.0" customHeight="1">
      <c r="A6" s="1"/>
      <c r="B6" s="26" t="s">
        <v>6</v>
      </c>
      <c r="C6" s="27">
        <v>1200.0</v>
      </c>
      <c r="D6" s="1"/>
      <c r="E6" s="19"/>
      <c r="F6" s="20" t="s">
        <v>7</v>
      </c>
      <c r="G6" s="1"/>
      <c r="H6" s="28" t="s">
        <v>8</v>
      </c>
      <c r="I6" s="29">
        <v>844.4796449449602</v>
      </c>
      <c r="J6" s="1"/>
      <c r="K6" s="30">
        <f>IFERROR(
   VLOOKUP(K4,Database!A1:E14,2),
"")</f>
        <v>21742.50514</v>
      </c>
      <c r="L6" s="31"/>
      <c r="M6" s="31"/>
      <c r="N6" s="31"/>
      <c r="O6" s="31"/>
      <c r="P6" s="31"/>
      <c r="Q6" s="32"/>
      <c r="R6" s="1"/>
    </row>
    <row r="7" ht="15.0" customHeight="1">
      <c r="A7" s="1"/>
      <c r="B7" s="26"/>
      <c r="C7" s="27" t="s">
        <v>7</v>
      </c>
      <c r="D7" s="1"/>
      <c r="E7" s="19"/>
      <c r="F7" s="20" t="s">
        <v>7</v>
      </c>
      <c r="G7" s="1"/>
      <c r="H7" s="28" t="s">
        <v>9</v>
      </c>
      <c r="I7" s="29">
        <v>0.0</v>
      </c>
      <c r="J7" s="1"/>
      <c r="K7" s="33" t="s">
        <v>10</v>
      </c>
      <c r="Q7" s="34"/>
      <c r="R7" s="1"/>
    </row>
    <row r="8" ht="15.0" customHeight="1">
      <c r="A8" s="1"/>
      <c r="B8" s="26"/>
      <c r="C8" s="27" t="s">
        <v>7</v>
      </c>
      <c r="D8" s="1"/>
      <c r="E8" s="19"/>
      <c r="F8" s="20" t="s">
        <v>7</v>
      </c>
      <c r="G8" s="1"/>
      <c r="H8" s="28"/>
      <c r="I8" s="29" t="s">
        <v>7</v>
      </c>
      <c r="J8" s="1"/>
      <c r="K8" s="30">
        <f>IFERROR(
   VLOOKUP(K4,Database!A1:E14,5),
"")</f>
        <v>11653.83822</v>
      </c>
      <c r="L8" s="31"/>
      <c r="M8" s="31"/>
      <c r="N8" s="31"/>
      <c r="O8" s="31"/>
      <c r="P8" s="31"/>
      <c r="Q8" s="32"/>
      <c r="R8" s="1"/>
    </row>
    <row r="9" ht="15.0" customHeight="1">
      <c r="A9" s="1"/>
      <c r="B9" s="26"/>
      <c r="C9" s="27" t="s">
        <v>7</v>
      </c>
      <c r="D9" s="1"/>
      <c r="E9" s="19"/>
      <c r="F9" s="20" t="s">
        <v>7</v>
      </c>
      <c r="G9" s="1"/>
      <c r="H9" s="28"/>
      <c r="I9" s="29" t="s">
        <v>7</v>
      </c>
      <c r="J9" s="1"/>
      <c r="K9" s="35" t="s">
        <v>11</v>
      </c>
      <c r="Q9" s="34"/>
      <c r="R9" s="1"/>
    </row>
    <row r="10" ht="15.0" customHeight="1">
      <c r="A10" s="1"/>
      <c r="B10" s="26"/>
      <c r="C10" s="27" t="s">
        <v>7</v>
      </c>
      <c r="D10" s="1"/>
      <c r="E10" s="19"/>
      <c r="F10" s="20" t="s">
        <v>7</v>
      </c>
      <c r="G10" s="1"/>
      <c r="H10" s="28"/>
      <c r="I10" s="29" t="s">
        <v>7</v>
      </c>
      <c r="J10" s="1"/>
      <c r="K10" s="30">
        <f>IFERROR(
   VLOOKUP(K4,Database!A1:E14,3),
"")</f>
        <v>2568</v>
      </c>
      <c r="L10" s="31"/>
      <c r="M10" s="31"/>
      <c r="N10" s="31"/>
      <c r="O10" s="31"/>
      <c r="P10" s="31"/>
      <c r="Q10" s="32"/>
      <c r="R10" s="1"/>
    </row>
    <row r="11" ht="15.0" customHeight="1">
      <c r="A11" s="1"/>
      <c r="B11" s="26"/>
      <c r="C11" s="27" t="s">
        <v>7</v>
      </c>
      <c r="D11" s="1"/>
      <c r="E11" s="19"/>
      <c r="F11" s="20"/>
      <c r="G11" s="1"/>
      <c r="H11" s="28"/>
      <c r="I11" s="29"/>
      <c r="J11" s="1"/>
      <c r="K11" s="35" t="s">
        <v>12</v>
      </c>
      <c r="Q11" s="34"/>
      <c r="R11" s="1"/>
    </row>
    <row r="12" ht="15.0" customHeight="1">
      <c r="A12" s="1"/>
      <c r="B12" s="26"/>
      <c r="C12" s="27" t="s">
        <v>7</v>
      </c>
      <c r="D12" s="1"/>
      <c r="E12" s="19"/>
      <c r="F12" s="20"/>
      <c r="G12" s="1"/>
      <c r="H12" s="28"/>
      <c r="I12" s="29"/>
      <c r="J12" s="1"/>
      <c r="K12" s="36">
        <f>IFERROR(
   VLOOKUP(K4,Database!A1:E14,4),
"")</f>
        <v>2350</v>
      </c>
      <c r="L12" s="24"/>
      <c r="M12" s="24"/>
      <c r="N12" s="24"/>
      <c r="O12" s="24"/>
      <c r="P12" s="24"/>
      <c r="Q12" s="25"/>
      <c r="R12" s="1"/>
    </row>
    <row r="13" ht="15.0" customHeight="1">
      <c r="A13" s="1"/>
      <c r="B13" s="26"/>
      <c r="C13" s="27" t="s">
        <v>7</v>
      </c>
      <c r="D13" s="1"/>
      <c r="E13" s="19"/>
      <c r="F13" s="20"/>
      <c r="G13" s="1"/>
      <c r="H13" s="28"/>
      <c r="I13" s="29"/>
      <c r="J13" s="1"/>
      <c r="K13" s="1"/>
      <c r="L13" s="1"/>
      <c r="M13" s="1"/>
      <c r="N13" s="1"/>
      <c r="O13" s="1"/>
      <c r="P13" s="1"/>
      <c r="Q13" s="1"/>
      <c r="R13" s="1"/>
    </row>
    <row r="14" ht="15.0" customHeight="1">
      <c r="A14" s="1"/>
      <c r="B14" s="26"/>
      <c r="C14" s="27" t="s">
        <v>7</v>
      </c>
      <c r="D14" s="1"/>
      <c r="E14" s="19"/>
      <c r="F14" s="20"/>
      <c r="G14" s="1"/>
      <c r="H14" s="28"/>
      <c r="I14" s="29"/>
      <c r="J14" s="1"/>
      <c r="K14" s="1"/>
      <c r="L14" s="1"/>
      <c r="M14" s="1"/>
      <c r="N14" s="1"/>
      <c r="O14" s="1"/>
      <c r="P14" s="1"/>
      <c r="Q14" s="1"/>
      <c r="R14" s="1"/>
    </row>
    <row r="15" ht="15.0" customHeight="1">
      <c r="A15" s="1"/>
      <c r="B15" s="26"/>
      <c r="C15" s="27" t="s">
        <v>7</v>
      </c>
      <c r="D15" s="1"/>
      <c r="E15" s="19"/>
      <c r="F15" s="20"/>
      <c r="G15" s="1"/>
      <c r="H15" s="28"/>
      <c r="I15" s="29"/>
      <c r="J15" s="1"/>
      <c r="K15" s="1"/>
      <c r="L15" s="1"/>
      <c r="M15" s="1"/>
      <c r="N15" s="1"/>
      <c r="O15" s="1"/>
      <c r="P15" s="1"/>
      <c r="Q15" s="1"/>
      <c r="R15" s="1"/>
    </row>
    <row r="16" ht="15.0" customHeight="1">
      <c r="A16" s="1"/>
      <c r="B16" s="26"/>
      <c r="C16" s="27"/>
      <c r="D16" s="1"/>
      <c r="E16" s="19"/>
      <c r="F16" s="20"/>
      <c r="G16" s="1"/>
      <c r="H16" s="28"/>
      <c r="I16" s="29"/>
      <c r="J16" s="1"/>
      <c r="K16" s="1"/>
      <c r="L16" s="1"/>
      <c r="M16" s="1"/>
      <c r="N16" s="1"/>
      <c r="O16" s="1"/>
      <c r="P16" s="1"/>
      <c r="Q16" s="1"/>
      <c r="R16" s="1"/>
    </row>
    <row r="17" ht="15.0" customHeight="1">
      <c r="A17" s="1"/>
      <c r="B17" s="26"/>
      <c r="C17" s="27"/>
      <c r="D17" s="1"/>
      <c r="E17" s="19"/>
      <c r="F17" s="20"/>
      <c r="G17" s="1"/>
      <c r="H17" s="28"/>
      <c r="I17" s="29"/>
      <c r="J17" s="1"/>
      <c r="K17" s="1"/>
      <c r="L17" s="1"/>
      <c r="M17" s="1"/>
      <c r="N17" s="1"/>
      <c r="O17" s="1"/>
      <c r="P17" s="1"/>
      <c r="Q17" s="1"/>
      <c r="R17" s="1"/>
    </row>
    <row r="18" ht="15.0" customHeight="1">
      <c r="A18" s="1"/>
      <c r="B18" s="26"/>
      <c r="C18" s="27"/>
      <c r="D18" s="1"/>
      <c r="E18" s="19"/>
      <c r="F18" s="20"/>
      <c r="G18" s="1"/>
      <c r="H18" s="28"/>
      <c r="I18" s="29"/>
      <c r="J18" s="1"/>
      <c r="K18" s="1"/>
      <c r="L18" s="1"/>
      <c r="M18" s="1"/>
      <c r="N18" s="1"/>
      <c r="O18" s="1"/>
      <c r="P18" s="1"/>
      <c r="Q18" s="1"/>
      <c r="R18" s="1"/>
    </row>
    <row r="19" ht="15.0" customHeight="1">
      <c r="A19" s="1"/>
      <c r="B19" s="26"/>
      <c r="C19" s="27"/>
      <c r="D19" s="1"/>
      <c r="E19" s="19"/>
      <c r="F19" s="20"/>
      <c r="G19" s="1"/>
      <c r="H19" s="28"/>
      <c r="I19" s="29"/>
      <c r="J19" s="1"/>
      <c r="K19" s="1"/>
      <c r="L19" s="1"/>
      <c r="M19" s="1"/>
      <c r="N19" s="1"/>
      <c r="O19" s="1"/>
      <c r="P19" s="1"/>
      <c r="Q19" s="1"/>
      <c r="R19" s="1"/>
    </row>
    <row r="20" ht="15.0" customHeight="1">
      <c r="A20" s="1"/>
      <c r="B20" s="26"/>
      <c r="C20" s="27"/>
      <c r="D20" s="1"/>
      <c r="E20" s="19"/>
      <c r="F20" s="20"/>
      <c r="G20" s="1"/>
      <c r="H20" s="28"/>
      <c r="I20" s="29"/>
      <c r="J20" s="1"/>
      <c r="K20" s="1"/>
      <c r="L20" s="1"/>
      <c r="M20" s="1"/>
      <c r="N20" s="1"/>
      <c r="O20" s="1"/>
      <c r="P20" s="1"/>
      <c r="Q20" s="1"/>
      <c r="R20" s="1"/>
    </row>
    <row r="21" ht="15.0" customHeight="1">
      <c r="A21" s="1"/>
      <c r="B21" s="26"/>
      <c r="C21" s="27"/>
      <c r="D21" s="1"/>
      <c r="E21" s="19"/>
      <c r="F21" s="20"/>
      <c r="G21" s="1"/>
      <c r="H21" s="28"/>
      <c r="I21" s="29"/>
      <c r="J21" s="1"/>
      <c r="K21" s="1"/>
      <c r="L21" s="1"/>
      <c r="M21" s="1"/>
      <c r="N21" s="1"/>
      <c r="O21" s="1"/>
      <c r="P21" s="1"/>
      <c r="Q21" s="1"/>
      <c r="R21" s="1"/>
    </row>
    <row r="22" ht="15.0" customHeight="1">
      <c r="A22" s="1"/>
      <c r="B22" s="26"/>
      <c r="C22" s="27"/>
      <c r="D22" s="1"/>
      <c r="E22" s="19"/>
      <c r="F22" s="20"/>
      <c r="G22" s="1"/>
      <c r="H22" s="28"/>
      <c r="I22" s="29"/>
      <c r="J22" s="1"/>
      <c r="K22" s="1"/>
      <c r="L22" s="1"/>
      <c r="M22" s="1"/>
      <c r="N22" s="1"/>
      <c r="O22" s="1"/>
      <c r="P22" s="1"/>
      <c r="Q22" s="1"/>
      <c r="R22" s="1"/>
    </row>
    <row r="23" ht="15.0" customHeight="1">
      <c r="A23" s="1"/>
      <c r="B23" s="37"/>
      <c r="C23" s="38"/>
      <c r="D23" s="1"/>
      <c r="E23" s="39"/>
      <c r="F23" s="40"/>
      <c r="G23" s="1"/>
      <c r="H23" s="41"/>
      <c r="I23" s="42"/>
      <c r="J23" s="1"/>
      <c r="K23" s="1"/>
      <c r="L23" s="1"/>
      <c r="M23" s="1"/>
      <c r="N23" s="1"/>
      <c r="O23" s="1"/>
      <c r="P23" s="1"/>
      <c r="Q23" s="1"/>
      <c r="R23" s="1"/>
    </row>
    <row r="24" ht="2.25" customHeight="1">
      <c r="A24" s="1"/>
      <c r="B24" s="1"/>
      <c r="C24" s="1"/>
      <c r="D24" s="1"/>
      <c r="E24" s="1"/>
      <c r="F24" s="1"/>
      <c r="G24" s="1"/>
      <c r="H24" s="1"/>
      <c r="I24" s="1"/>
      <c r="J24" s="1"/>
      <c r="K24" s="1"/>
      <c r="L24" s="1"/>
      <c r="M24" s="1"/>
      <c r="N24" s="1"/>
      <c r="O24" s="1"/>
      <c r="P24" s="1"/>
      <c r="Q24" s="1"/>
      <c r="R24" s="1"/>
    </row>
  </sheetData>
  <mergeCells count="13">
    <mergeCell ref="K7:Q7"/>
    <mergeCell ref="K8:Q8"/>
    <mergeCell ref="K9:Q9"/>
    <mergeCell ref="K10:Q10"/>
    <mergeCell ref="K11:Q11"/>
    <mergeCell ref="K12:Q12"/>
    <mergeCell ref="B2:C3"/>
    <mergeCell ref="E2:F3"/>
    <mergeCell ref="H2:I3"/>
    <mergeCell ref="K3:Q3"/>
    <mergeCell ref="K4:Q4"/>
    <mergeCell ref="K5:Q5"/>
    <mergeCell ref="K6:Q6"/>
  </mergeCells>
  <dataValidations>
    <dataValidation type="list" allowBlank="1" showErrorMessage="1" sqref="K4">
      <formula1>Database!$A$2:$A$14</formula1>
    </dataValidation>
  </dataValidations>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1</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IF((SUM(January!Jan_Income)-V25)-(AJ5*SUM(January!Jan_Income))-(AJ6*(SUM(January!Jan_Income)))-SUM(January!Jan_Happiness)&lt;70,
   "Mate, slow down on the parties ok? You're going broke like that. Less fun budget for you. ",
      "Hey, with this planning you pay all your bills, invests and still have something left for your happy things. This is perfect! You'll still have "
&amp;DOLLAR(SUM(January!Jan_Income)-V25-(AJ5*SUM(January!Jan_Income))-(AJ6*(SUM(January!Jan_Income)))-SUM(January!Jan_Happiness)-AJ3)
         &amp;" left to buy whatever guilty pleasure you feel like. "
&amp;
IFERROR(ROUND((1-(AJ5+AJ6+(V25/SUM(January!Jan_Income))))*100,2)
   &amp;"% of your money is left after investing and liabilities, or "
   &amp;DOLLAR((SUM(January!Jan_Income)-V25)-(AJ5*SUM(January!Jan_Income))-(AJ6*(SUM(January!Jan_Income))))
   &amp;". "
   &amp;IF(AND(AK2=TRUE,T11&gt;January!Jan_Liabilities*12),"You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&amp;DOLLAR(SUM(January!Jan_Income)-V25)
      &amp;IF(T11&gt;SUM(January!Jan_Liabilities)*4," and excelent savings, good job",
         IF(T11&gt;SUM(January!Jan_Liabilities)*2," and ok savings, try saving more",
            IF(AK2=FALSE," but with terrible savings. Make it a priority! Save at least 4 times your expenses",""))),
""))</f>
        <v>Hey, with this planning you pay all your bills, invests and still have something left for your happy things. This is perfect! You'll still have $297,62 left to buy whatever guilty pleasure you feel like. 86% of your money is left after investing and liabilities, or $1.347,62. Good that you'll focus on having savings this month. You'll start the month with $1.567,00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1000.0</v>
      </c>
      <c r="AK3" s="51"/>
      <c r="AL3" s="51"/>
      <c r="AM3" s="51"/>
      <c r="AN3" s="51"/>
      <c r="AO3" s="52"/>
      <c r="AP3" s="1"/>
      <c r="AQ3" s="69"/>
      <c r="AW3" s="70"/>
      <c r="AX3" s="71"/>
      <c r="BA3" s="70"/>
      <c r="BB3" s="72" t="str">
        <f>IFERROR(IF(AX3="","",
   AX3*($AJ$5*SUM(January!Jan_Income))),
"")</f>
        <v/>
      </c>
      <c r="BG3" s="70"/>
      <c r="BH3" s="71"/>
      <c r="BK3" s="70"/>
      <c r="BL3" s="73"/>
      <c r="BQ3" s="70"/>
      <c r="BR3" s="72" t="str">
        <f t="shared" ref="BR3:BR9" si="1">IFERROR(
   IF(BB3="","",
      (BB3+BL3)*BH3)
,"")</f>
        <v/>
      </c>
      <c r="BW3" s="70"/>
      <c r="BX3" s="74" t="str">
        <f t="shared" ref="BX3:BX9" si="2">IFERROR(
   IF(BH3="","",
      ((BB3+BL3)+(BB3+BL3)*BH3)),
"")</f>
        <v/>
      </c>
      <c r="CB3" s="75"/>
      <c r="CC3" s="1"/>
    </row>
    <row r="4" ht="14.25" customHeight="1">
      <c r="A4" s="1"/>
      <c r="B4" s="76"/>
      <c r="K4" s="77"/>
      <c r="L4" s="1"/>
      <c r="M4" s="64" t="s">
        <v>4</v>
      </c>
      <c r="N4" s="65"/>
      <c r="O4" s="65"/>
      <c r="P4" s="65"/>
      <c r="Q4" s="65"/>
      <c r="R4" s="65"/>
      <c r="S4" s="65"/>
      <c r="T4" s="66">
        <f t="shared" ref="T4:T5" si="3">BW13</f>
        <v>67</v>
      </c>
      <c r="Z4" s="67"/>
      <c r="AA4" s="1"/>
      <c r="AB4" s="1"/>
      <c r="AC4" s="1"/>
      <c r="AD4" s="1"/>
      <c r="AE4" s="1"/>
      <c r="AF4" s="1"/>
      <c r="AG4" s="1"/>
      <c r="AH4" s="1"/>
      <c r="AI4" s="1"/>
      <c r="AJ4" s="1"/>
      <c r="AK4" s="1"/>
      <c r="AL4" s="1"/>
      <c r="AM4" s="1"/>
      <c r="AN4" s="1"/>
      <c r="AO4" s="1"/>
      <c r="AP4" s="1"/>
      <c r="AQ4" s="69"/>
      <c r="AW4" s="70"/>
      <c r="AX4" s="71"/>
      <c r="BA4" s="70"/>
      <c r="BB4" s="72" t="str">
        <f>IFERROR(IF(AX4="","",
   AX4*($AJ$5*SUM(January!Jan_Income))),
"")</f>
        <v/>
      </c>
      <c r="BG4" s="70"/>
      <c r="BH4" s="71"/>
      <c r="BK4" s="70"/>
      <c r="BL4" s="73"/>
      <c r="BQ4" s="70"/>
      <c r="BR4" s="72" t="str">
        <f t="shared" si="1"/>
        <v/>
      </c>
      <c r="BW4" s="70"/>
      <c r="BX4" s="74" t="str">
        <f t="shared" si="2"/>
        <v/>
      </c>
      <c r="CB4" s="75"/>
      <c r="CC4" s="1"/>
    </row>
    <row r="5" ht="15.0" customHeight="1">
      <c r="A5" s="1"/>
      <c r="B5" s="76"/>
      <c r="K5" s="77"/>
      <c r="L5" s="1"/>
      <c r="M5" s="64" t="s">
        <v>8</v>
      </c>
      <c r="N5" s="65"/>
      <c r="O5" s="65"/>
      <c r="P5" s="65"/>
      <c r="Q5" s="65"/>
      <c r="R5" s="65"/>
      <c r="S5" s="65"/>
      <c r="T5" s="66">
        <f t="shared" si="3"/>
        <v>0</v>
      </c>
      <c r="Z5" s="67"/>
      <c r="AA5" s="1"/>
      <c r="AB5" s="78" t="s">
        <v>26</v>
      </c>
      <c r="AC5" s="59"/>
      <c r="AD5" s="59"/>
      <c r="AE5" s="59"/>
      <c r="AF5" s="59"/>
      <c r="AG5" s="59"/>
      <c r="AH5" s="59"/>
      <c r="AI5" s="5"/>
      <c r="AJ5" s="79">
        <v>0.0</v>
      </c>
      <c r="AK5" s="59"/>
      <c r="AL5" s="59"/>
      <c r="AM5" s="59"/>
      <c r="AN5" s="59"/>
      <c r="AO5" s="5"/>
      <c r="AP5" s="1"/>
      <c r="AQ5" s="69"/>
      <c r="AW5" s="70"/>
      <c r="AX5" s="71"/>
      <c r="BA5" s="70"/>
      <c r="BB5" s="72" t="str">
        <f>IFERROR(IF(AX5="","",
   AX5*($AJ$5*SUM(January!Jan_Income))),
"")</f>
        <v/>
      </c>
      <c r="BG5" s="70"/>
      <c r="BH5" s="71"/>
      <c r="BK5" s="70"/>
      <c r="BL5" s="73"/>
      <c r="BQ5" s="70"/>
      <c r="BR5" s="72" t="str">
        <f t="shared" si="1"/>
        <v/>
      </c>
      <c r="BW5" s="70"/>
      <c r="BX5" s="74" t="str">
        <f t="shared" si="2"/>
        <v/>
      </c>
      <c r="CB5" s="75"/>
      <c r="CC5" s="1"/>
    </row>
    <row r="6" ht="15.0" customHeight="1">
      <c r="A6" s="1"/>
      <c r="B6" s="76"/>
      <c r="K6" s="77"/>
      <c r="L6" s="1"/>
      <c r="M6" s="64" t="s">
        <v>9</v>
      </c>
      <c r="N6" s="65"/>
      <c r="O6" s="65"/>
      <c r="P6" s="65"/>
      <c r="Q6" s="65"/>
      <c r="R6" s="65"/>
      <c r="S6" s="65"/>
      <c r="T6" s="66"/>
      <c r="Z6" s="67"/>
      <c r="AA6" s="1"/>
      <c r="AB6" s="69" t="s">
        <v>27</v>
      </c>
      <c r="AI6" s="75"/>
      <c r="AJ6" s="71">
        <f>IF(IFERROR(ROUND(SUM(January!Jan_Liabilities)/SUM(January!Jan_Income),2),"")=0,"",
   ROUND(SUM(January!Jan_Liabilities)/SUM(January!Jan_Income),2))</f>
        <v>0.14</v>
      </c>
      <c r="AO6" s="75"/>
      <c r="AP6" s="1"/>
      <c r="AQ6" s="69"/>
      <c r="AW6" s="70"/>
      <c r="AX6" s="71"/>
      <c r="BA6" s="70"/>
      <c r="BB6" s="72" t="str">
        <f>IFERROR(IF(AX6="","",
   AX6*($AJ$5*SUM(January!Jan_Income))),
"")</f>
        <v/>
      </c>
      <c r="BG6" s="70"/>
      <c r="BH6" s="71"/>
      <c r="BK6" s="70"/>
      <c r="BL6" s="73"/>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"&amp;DOLLAR(AJ5*(SUM(January!Jan_Income)))&amp;". "
         &amp;IF(AJ5&gt;55%,"Its an excellent value!",
            IF(AJ5&gt;39%,"Its a great percentage!",
               IF(AJ5&gt;19%,"It´s a good value!",
                 "Increase your $ invested")))))</f>
        <v>Doing great, keep it up! Ok, no investments, send money only to your emergencial reserve</v>
      </c>
      <c r="AC7" s="59"/>
      <c r="AD7" s="59"/>
      <c r="AE7" s="59"/>
      <c r="AF7" s="59"/>
      <c r="AG7" s="59"/>
      <c r="AH7" s="59"/>
      <c r="AI7" s="59"/>
      <c r="AJ7" s="59"/>
      <c r="AK7" s="59"/>
      <c r="AL7" s="59"/>
      <c r="AM7" s="59"/>
      <c r="AN7" s="59"/>
      <c r="AO7" s="5"/>
      <c r="AP7" s="1"/>
      <c r="AQ7" s="69"/>
      <c r="AW7" s="70"/>
      <c r="AX7" s="71"/>
      <c r="BA7" s="70"/>
      <c r="BB7" s="72" t="str">
        <f>IFERROR(IF(AX7="","",
   AX7*($AJ$5*SUM(January!Jan_Income))),
"")</f>
        <v/>
      </c>
      <c r="BG7" s="70"/>
      <c r="BH7" s="71"/>
      <c r="BK7" s="70"/>
      <c r="BL7" s="73"/>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AX8*($AJ$5*SUM(January!Jan_Income))),
"")</f>
        <v/>
      </c>
      <c r="BG8" s="70"/>
      <c r="BH8" s="71"/>
      <c r="BK8" s="70"/>
      <c r="BL8" s="73"/>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AX9*($AJ$5*SUM(January!Jan_Income))),
"")</f>
        <v/>
      </c>
      <c r="BG9" s="70"/>
      <c r="BH9" s="71"/>
      <c r="BK9" s="70"/>
      <c r="BL9" s="73"/>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
&amp;
  IF(BW15&gt;0,". Describe your last year´s investments here","")</f>
        <v>Save for 4 up to 6 months, mate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AJ3+BW16</f>
        <v>1000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92" t="s">
        <v>33</v>
      </c>
      <c r="BP12" s="51"/>
      <c r="BQ12" s="51"/>
      <c r="BR12" s="51"/>
      <c r="BS12" s="51"/>
      <c r="BT12" s="51"/>
      <c r="BU12" s="51"/>
      <c r="BV12" s="52"/>
      <c r="BW12" s="4" t="s">
        <v>15</v>
      </c>
      <c r="BX12" s="59"/>
      <c r="BY12" s="59"/>
      <c r="BZ12" s="59"/>
      <c r="CA12" s="59"/>
      <c r="CB12" s="5"/>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SUM(January!Jan_Amo_Invested)-(V1*SUM(January!Jan_Income))</f>
        <v>0</v>
      </c>
      <c r="AR13" s="24"/>
      <c r="AS13" s="24"/>
      <c r="AT13" s="24"/>
      <c r="AU13" s="24"/>
      <c r="AV13" s="24"/>
      <c r="AW13" s="25"/>
      <c r="AX13" s="1"/>
      <c r="AY13" s="100"/>
      <c r="BE13" s="34"/>
      <c r="BF13" s="1"/>
      <c r="BG13" s="1"/>
      <c r="BH13" s="1"/>
      <c r="BI13" s="1"/>
      <c r="BJ13" s="1"/>
      <c r="BK13" s="1"/>
      <c r="BL13" s="1"/>
      <c r="BM13" s="1"/>
      <c r="BN13" s="1"/>
      <c r="BO13" s="97" t="s">
        <v>35</v>
      </c>
      <c r="BP13" s="65"/>
      <c r="BQ13" s="65"/>
      <c r="BR13" s="65"/>
      <c r="BS13" s="65"/>
      <c r="BT13" s="65"/>
      <c r="BU13" s="65"/>
      <c r="BV13" s="98"/>
      <c r="BW13" s="99">
        <v>67.0</v>
      </c>
      <c r="CB13" s="75"/>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97" t="s">
        <v>8</v>
      </c>
      <c r="BP14" s="65"/>
      <c r="BQ14" s="65"/>
      <c r="BR14" s="65"/>
      <c r="BS14" s="65"/>
      <c r="BT14" s="65"/>
      <c r="BU14" s="65"/>
      <c r="BV14" s="98"/>
      <c r="BW14" s="99">
        <v>0.0</v>
      </c>
      <c r="CB14" s="75"/>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AQ16-February!AQ16</f>
        <v>-5.8961936</v>
      </c>
      <c r="AZ15" s="24"/>
      <c r="BA15" s="24"/>
      <c r="BB15" s="24"/>
      <c r="BC15" s="24"/>
      <c r="BD15" s="24"/>
      <c r="BE15" s="25"/>
      <c r="BF15" s="1"/>
      <c r="BG15" s="1"/>
      <c r="BH15" s="1"/>
      <c r="BI15" s="1"/>
      <c r="BJ15" s="1"/>
      <c r="BK15" s="1"/>
      <c r="BL15" s="1"/>
      <c r="BM15" s="1"/>
      <c r="BN15" s="1"/>
      <c r="BO15" s="97" t="s">
        <v>10</v>
      </c>
      <c r="BP15" s="65"/>
      <c r="BQ15" s="65"/>
      <c r="BR15" s="65"/>
      <c r="BS15" s="65"/>
      <c r="BT15" s="65"/>
      <c r="BU15" s="65"/>
      <c r="BV15" s="98"/>
      <c r="BW15" s="99">
        <v>0.0</v>
      </c>
      <c r="CB15" s="75"/>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0</v>
      </c>
      <c r="AR16" s="24"/>
      <c r="AS16" s="24"/>
      <c r="AT16" s="24"/>
      <c r="AU16" s="24"/>
      <c r="AV16" s="24"/>
      <c r="AW16" s="25"/>
      <c r="AX16" s="1"/>
      <c r="AY16" s="102">
        <f>Database!J4</f>
        <v>0.02149208963</v>
      </c>
      <c r="AZ16" s="24"/>
      <c r="BA16" s="24"/>
      <c r="BB16" s="24"/>
      <c r="BC16" s="24"/>
      <c r="BD16" s="24"/>
      <c r="BE16" s="25"/>
      <c r="BF16" s="1"/>
      <c r="BG16" s="1"/>
      <c r="BH16" s="1"/>
      <c r="BI16" s="1"/>
      <c r="BJ16" s="1"/>
      <c r="BK16" s="1"/>
      <c r="BL16" s="1"/>
      <c r="BM16" s="1"/>
      <c r="BN16" s="1"/>
      <c r="BO16" s="97" t="s">
        <v>38</v>
      </c>
      <c r="BP16" s="65"/>
      <c r="BQ16" s="65"/>
      <c r="BR16" s="65"/>
      <c r="BS16" s="65"/>
      <c r="BT16" s="65"/>
      <c r="BU16" s="65"/>
      <c r="BV16" s="98"/>
      <c r="BW16" s="99">
        <v>0.0</v>
      </c>
      <c r="CB16" s="75"/>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SUM(January!Jan_Total_Invested)</f>
        <v>0</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(SUM(January!Jan_Income)-U25)-(AJ5*SUM(January!Jan_Income))-(AJ6*(SUM(January!Jan_Income)))-SUM(January!Jan_Happiness)-AJ3</f>
        <v>297.62</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53">
    <mergeCell ref="BH2:BK2"/>
    <mergeCell ref="BL2:BQ2"/>
    <mergeCell ref="BR2:BW2"/>
    <mergeCell ref="BX2:CB2"/>
    <mergeCell ref="M2:S2"/>
    <mergeCell ref="M3:S3"/>
    <mergeCell ref="AB2:AI2"/>
    <mergeCell ref="AB3:AI3"/>
    <mergeCell ref="AQ2:AW2"/>
    <mergeCell ref="AQ3:AW3"/>
    <mergeCell ref="AX3:BA3"/>
    <mergeCell ref="BB3:BG3"/>
    <mergeCell ref="BH3:BK3"/>
    <mergeCell ref="BL3:BQ3"/>
    <mergeCell ref="BR3:BW3"/>
    <mergeCell ref="BX3:CB3"/>
    <mergeCell ref="M4:S4"/>
    <mergeCell ref="T4:Z4"/>
    <mergeCell ref="AQ4:AW4"/>
    <mergeCell ref="AX4:BA4"/>
    <mergeCell ref="BH4:BK4"/>
    <mergeCell ref="BL4:BQ4"/>
    <mergeCell ref="BX4:CB4"/>
    <mergeCell ref="BH5:BK5"/>
    <mergeCell ref="BX5:CB5"/>
    <mergeCell ref="BR4:BW4"/>
    <mergeCell ref="T3:Z3"/>
    <mergeCell ref="M5:S5"/>
    <mergeCell ref="T5:Z5"/>
    <mergeCell ref="AB5:AI5"/>
    <mergeCell ref="AJ5:AO5"/>
    <mergeCell ref="AQ5:AW5"/>
    <mergeCell ref="AX5:BA5"/>
    <mergeCell ref="T2:Z2"/>
    <mergeCell ref="M6:S6"/>
    <mergeCell ref="T6:Z6"/>
    <mergeCell ref="AB6:AI6"/>
    <mergeCell ref="AJ6:AO6"/>
    <mergeCell ref="AQ6:AW6"/>
    <mergeCell ref="AX6:BA6"/>
    <mergeCell ref="BB6:BG6"/>
    <mergeCell ref="M7:S7"/>
    <mergeCell ref="T7:Z7"/>
    <mergeCell ref="AQ7:AW7"/>
    <mergeCell ref="AX7:BA7"/>
    <mergeCell ref="BB7:BG7"/>
    <mergeCell ref="AQ8:AW8"/>
    <mergeCell ref="AX8:BA8"/>
    <mergeCell ref="BB8:BG8"/>
    <mergeCell ref="AQ9:AW9"/>
    <mergeCell ref="AX9:BA9"/>
    <mergeCell ref="BB9:BG9"/>
    <mergeCell ref="M11:S11"/>
    <mergeCell ref="T11:Z11"/>
    <mergeCell ref="M12:S12"/>
    <mergeCell ref="T12:Z12"/>
    <mergeCell ref="M14:S14"/>
    <mergeCell ref="T14:Z14"/>
    <mergeCell ref="AB12:AI12"/>
    <mergeCell ref="AJ12:AO12"/>
    <mergeCell ref="AQ12:AW12"/>
    <mergeCell ref="M13:S13"/>
    <mergeCell ref="T13:Z13"/>
    <mergeCell ref="AB13:AI13"/>
    <mergeCell ref="AJ13:AO13"/>
    <mergeCell ref="AQ13:AW13"/>
    <mergeCell ref="AY12:BE14"/>
    <mergeCell ref="AB14:AI14"/>
    <mergeCell ref="AJ14:AO14"/>
    <mergeCell ref="M15:S15"/>
    <mergeCell ref="T15:Z15"/>
    <mergeCell ref="AB15:AI15"/>
    <mergeCell ref="AJ15:AO15"/>
    <mergeCell ref="AQ15:AW15"/>
    <mergeCell ref="M16:S16"/>
    <mergeCell ref="T16:Z16"/>
    <mergeCell ref="AB16:AI16"/>
    <mergeCell ref="AJ16:AO16"/>
    <mergeCell ref="AQ16:AW16"/>
    <mergeCell ref="M17:S17"/>
    <mergeCell ref="T17:Z17"/>
    <mergeCell ref="AB17:AI17"/>
    <mergeCell ref="AJ17:AO17"/>
    <mergeCell ref="M18:S18"/>
    <mergeCell ref="T18:Z18"/>
    <mergeCell ref="AB7:AO10"/>
    <mergeCell ref="M8:S8"/>
    <mergeCell ref="T8:Z8"/>
    <mergeCell ref="M9:S9"/>
    <mergeCell ref="T9:Z9"/>
    <mergeCell ref="M10:S10"/>
    <mergeCell ref="T10:Z10"/>
    <mergeCell ref="AQ22:AW22"/>
    <mergeCell ref="M23:S23"/>
    <mergeCell ref="T23:Z23"/>
    <mergeCell ref="M24:S24"/>
    <mergeCell ref="T24:Z24"/>
    <mergeCell ref="AY15:BE15"/>
    <mergeCell ref="AY16:BE16"/>
    <mergeCell ref="B2:K2"/>
    <mergeCell ref="AX2:BA2"/>
    <mergeCell ref="BB2:BG2"/>
    <mergeCell ref="B3:K24"/>
    <mergeCell ref="AJ3:AO3"/>
    <mergeCell ref="BB4:BG4"/>
    <mergeCell ref="BB5:BG5"/>
    <mergeCell ref="AB18:AI18"/>
    <mergeCell ref="AJ18:AO18"/>
    <mergeCell ref="AQ18:AW18"/>
    <mergeCell ref="M19:S19"/>
    <mergeCell ref="T19:Z19"/>
    <mergeCell ref="AB19:AI19"/>
    <mergeCell ref="AJ19:AO19"/>
    <mergeCell ref="AQ19:AW19"/>
    <mergeCell ref="M20:S20"/>
    <mergeCell ref="T20:Z20"/>
    <mergeCell ref="AB20:AI20"/>
    <mergeCell ref="AJ20:AO20"/>
    <mergeCell ref="M21:S21"/>
    <mergeCell ref="T21:Z21"/>
    <mergeCell ref="AB21:AO24"/>
    <mergeCell ref="AQ21:AW21"/>
    <mergeCell ref="M22:S22"/>
    <mergeCell ref="T22:Z22"/>
    <mergeCell ref="BL9:BQ9"/>
    <mergeCell ref="AQ10:CB10"/>
    <mergeCell ref="BR9:BW9"/>
    <mergeCell ref="BL5:BQ5"/>
    <mergeCell ref="BH6:BK6"/>
    <mergeCell ref="BL6:BQ6"/>
    <mergeCell ref="BX6:CB6"/>
    <mergeCell ref="BH7:BK7"/>
    <mergeCell ref="BX7:CB7"/>
    <mergeCell ref="BR5:BW5"/>
    <mergeCell ref="BR6:BW6"/>
    <mergeCell ref="BL7:BQ7"/>
    <mergeCell ref="BH8:BK8"/>
    <mergeCell ref="BL8:BQ8"/>
    <mergeCell ref="BX8:CB8"/>
    <mergeCell ref="BH9:BK9"/>
    <mergeCell ref="BX9:CB9"/>
    <mergeCell ref="BR7:BW7"/>
    <mergeCell ref="BR8:BW8"/>
    <mergeCell ref="BO12:BV12"/>
    <mergeCell ref="BW12:CB12"/>
    <mergeCell ref="BW13:CB13"/>
    <mergeCell ref="BO13:BV13"/>
    <mergeCell ref="BO14:BV14"/>
    <mergeCell ref="BW14:CB14"/>
    <mergeCell ref="BO16:BV16"/>
    <mergeCell ref="BW16:CB16"/>
    <mergeCell ref="BO15:BV15"/>
    <mergeCell ref="BW15:CB15"/>
  </mergeCells>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IF((SUM(February!Feb_Income)-V25)-(AJ5*SUM(February!Feb_Income))-(AJ6*(SUM(February!Feb_Income)))-SUM(February!Feb_Happiness)&lt;70,
   "Mate, slow down on the parties ok? You're going broke like that. Less fun budget for you. ",
      "Hey, with this planning you pay all your bills, invests and still have something left for your happy things. This is perfect! You'll still have "
&amp;DOLLAR(SUM(February!Feb_Income)-V25-(AJ5*SUM(February!Feb_Income))-(AJ6*(SUM(February!Feb_Income)))-SUM(February!Feb_Happiness)-AJ3)
         &amp;" left to buy whatever guilty pleasure you feel like. "
&amp;
IFERROR(ROUND((1-(AJ5+AJ6+(V25/SUM(February!Feb_Income))))*100,2)
   &amp;"% of your money is left after investing and liabilities, or "
   &amp;DOLLAR((SUM(February!Feb_Income)-V25)-(AJ5*SUM(February!Feb_Income))-(AJ6*(SUM(February!Feb_Income))))
   &amp;". "
   &amp;IF(AND(AK2=TRUE,T11&gt;February!Feb_Liabilities*12),"You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&amp;DOLLAR(SUM(February!Feb_Income)-V25)
      &amp;IF(T11&gt;SUM(February!Feb_Liabilities)*4," and excelent savings, good job",
         IF(T11&gt;SUM(February!Feb_Liabilities)*2," and ok savings, try saving more",
            IF(AK2=FALSE," but with terrible savings. Make it a priority! Save at least 4 times your expenses",""))),
""))</f>
        <v>Hey, with this planning you pay all your bills, invests and still have something left for your happy things. This is perfect! You'll still have $122,38 left to buy whatever guilty pleasure you feel like. 68% of your money is left after investing and liabilities, or $1.222,38. Way to go, mate!. You'll start the month with $1.797,62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50.0</v>
      </c>
      <c r="AK3" s="51"/>
      <c r="AL3" s="51"/>
      <c r="AM3" s="51"/>
      <c r="AN3" s="51"/>
      <c r="AO3" s="52"/>
      <c r="AP3" s="1"/>
      <c r="AQ3" s="69" t="s">
        <v>40</v>
      </c>
      <c r="AW3" s="70"/>
      <c r="AX3" s="71">
        <v>0.4</v>
      </c>
      <c r="BA3" s="70"/>
      <c r="BB3" s="72">
        <f>IFERROR(IF(AX3="","",
   AX3*($AJ$5*SUM(February!Feb_Income))),
"")</f>
        <v>143.8096</v>
      </c>
      <c r="BG3" s="70"/>
      <c r="BH3" s="71">
        <v>0.02</v>
      </c>
      <c r="BK3" s="70"/>
      <c r="BL3" s="73">
        <f>IF(BH3="","",
   IF(January!BX3="",0,
      January!BX3))</f>
        <v>0</v>
      </c>
      <c r="BQ3" s="70"/>
      <c r="BR3" s="72">
        <f t="shared" ref="BR3:BR9" si="1">IFERROR(
   IF(BB3="","",
      (BB3+BL3)*BH3)
,"")</f>
        <v>2.876192</v>
      </c>
      <c r="BW3" s="70"/>
      <c r="BX3" s="74">
        <f t="shared" ref="BX3:BX9" si="2">IFERROR(
   IF(BH3="","",
      ((BB3+BL3)+(BB3+BL3)*BH3)),
"")</f>
        <v>146.685792</v>
      </c>
      <c r="CB3" s="75"/>
      <c r="CC3" s="1"/>
    </row>
    <row r="4" ht="14.25" customHeight="1">
      <c r="A4" s="1"/>
      <c r="B4" s="76"/>
      <c r="K4" s="77"/>
      <c r="L4" s="1"/>
      <c r="M4" s="64" t="s">
        <v>4</v>
      </c>
      <c r="N4" s="65"/>
      <c r="O4" s="65"/>
      <c r="P4" s="65"/>
      <c r="Q4" s="65"/>
      <c r="R4" s="65"/>
      <c r="S4" s="65"/>
      <c r="T4" s="66">
        <f>January!AQ22</f>
        <v>297.62</v>
      </c>
      <c r="Z4" s="67"/>
      <c r="AA4" s="1"/>
      <c r="AB4" s="1"/>
      <c r="AC4" s="1"/>
      <c r="AD4" s="1"/>
      <c r="AE4" s="1"/>
      <c r="AF4" s="1"/>
      <c r="AG4" s="1"/>
      <c r="AH4" s="1"/>
      <c r="AI4" s="1"/>
      <c r="AJ4" s="1"/>
      <c r="AK4" s="1"/>
      <c r="AL4" s="1"/>
      <c r="AM4" s="1"/>
      <c r="AN4" s="1"/>
      <c r="AO4" s="1"/>
      <c r="AP4" s="1"/>
      <c r="AQ4" s="69" t="s">
        <v>41</v>
      </c>
      <c r="AW4" s="70"/>
      <c r="AX4" s="71">
        <v>0.3</v>
      </c>
      <c r="BA4" s="70"/>
      <c r="BB4" s="72">
        <f>IFERROR(IF(AX4="","",
   AX4*($AJ$5*SUM(February!Feb_Income))),
"")</f>
        <v>107.8572</v>
      </c>
      <c r="BG4" s="70"/>
      <c r="BH4" s="71">
        <v>0.015</v>
      </c>
      <c r="BK4" s="70"/>
      <c r="BL4" s="73">
        <f>IF(BH4="","",
   IF(January!BX4="",0,
      January!BX4))</f>
        <v>0</v>
      </c>
      <c r="BQ4" s="70"/>
      <c r="BR4" s="72">
        <f t="shared" si="1"/>
        <v>1.617858</v>
      </c>
      <c r="BW4" s="70"/>
      <c r="BX4" s="74">
        <f t="shared" si="2"/>
        <v>109.475058</v>
      </c>
      <c r="CB4" s="75"/>
      <c r="CC4" s="1"/>
    </row>
    <row r="5" ht="15.0" customHeight="1">
      <c r="A5" s="1"/>
      <c r="B5" s="76"/>
      <c r="K5" s="77"/>
      <c r="L5" s="1"/>
      <c r="M5" s="64" t="s">
        <v>8</v>
      </c>
      <c r="N5" s="65"/>
      <c r="O5" s="65"/>
      <c r="P5" s="65"/>
      <c r="Q5" s="65"/>
      <c r="R5" s="65"/>
      <c r="S5" s="65"/>
      <c r="T5" s="66">
        <f>January!AQ16</f>
        <v>0</v>
      </c>
      <c r="Z5" s="67"/>
      <c r="AA5" s="1"/>
      <c r="AB5" s="78" t="s">
        <v>26</v>
      </c>
      <c r="AC5" s="59"/>
      <c r="AD5" s="59"/>
      <c r="AE5" s="59"/>
      <c r="AF5" s="59"/>
      <c r="AG5" s="59"/>
      <c r="AH5" s="59"/>
      <c r="AI5" s="5"/>
      <c r="AJ5" s="79">
        <v>0.2</v>
      </c>
      <c r="AK5" s="59"/>
      <c r="AL5" s="59"/>
      <c r="AM5" s="59"/>
      <c r="AN5" s="59"/>
      <c r="AO5" s="5"/>
      <c r="AP5" s="1"/>
      <c r="AQ5" s="69" t="s">
        <v>42</v>
      </c>
      <c r="AW5" s="70"/>
      <c r="AX5" s="71">
        <v>0.3</v>
      </c>
      <c r="BA5" s="70"/>
      <c r="BB5" s="72">
        <f>IFERROR(IF(AX5="","",
   AX5*($AJ$5*SUM(February!Feb_Income))),
"")</f>
        <v>107.8572</v>
      </c>
      <c r="BG5" s="70"/>
      <c r="BH5" s="71">
        <v>0.013</v>
      </c>
      <c r="BK5" s="70"/>
      <c r="BL5" s="73">
        <f>IF(BH5="","",
   IF(January!BX5="",0,
      January!BX5))</f>
        <v>0</v>
      </c>
      <c r="BQ5" s="70"/>
      <c r="BR5" s="72">
        <f t="shared" si="1"/>
        <v>1.4021436</v>
      </c>
      <c r="BW5" s="70"/>
      <c r="BX5" s="74">
        <f t="shared" si="2"/>
        <v>109.2593436</v>
      </c>
      <c r="CB5" s="75"/>
      <c r="CC5" s="1"/>
    </row>
    <row r="6" ht="15.0" customHeight="1">
      <c r="A6" s="1"/>
      <c r="B6" s="76"/>
      <c r="K6" s="77"/>
      <c r="L6" s="1"/>
      <c r="M6" s="64" t="s">
        <v>9</v>
      </c>
      <c r="N6" s="65"/>
      <c r="O6" s="65"/>
      <c r="P6" s="65"/>
      <c r="Q6" s="65"/>
      <c r="R6" s="65"/>
      <c r="S6" s="65"/>
      <c r="T6" s="66"/>
      <c r="Z6" s="67"/>
      <c r="AA6" s="1"/>
      <c r="AB6" s="69" t="s">
        <v>27</v>
      </c>
      <c r="AI6" s="75"/>
      <c r="AJ6" s="71">
        <f>IF(IFERROR(ROUND(SUM(February!Feb_Liabilities)/SUM(February!Feb_Income),2),"")=0,"",
   ROUND(SUM(February!Feb_Liabilities)/SUM(February!Feb_Income),2))</f>
        <v>0.12</v>
      </c>
      <c r="AO6" s="75"/>
      <c r="AP6" s="1"/>
      <c r="AQ6" s="69"/>
      <c r="AW6" s="70"/>
      <c r="AX6" s="71"/>
      <c r="BA6" s="70"/>
      <c r="BB6" s="72" t="str">
        <f>IFERROR(IF(AX6="","",
   AX6*($AJ$5*SUM(February!Feb_Income))),
"")</f>
        <v/>
      </c>
      <c r="BG6" s="70"/>
      <c r="BH6" s="71"/>
      <c r="BK6" s="70"/>
      <c r="BL6" s="73" t="str">
        <f>IF(BH6="","",
   IF(January!BX6="",0,
      January!BX6))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"&amp;DOLLAR(AJ5*(SUM(February!Feb_Income)))&amp;". "
         &amp;IF(AJ5&gt;55%,"Its an excellent value!",
            IF(AJ5&gt;39%,"Its a great percentage!",
               IF(AJ5&gt;19%,"It´s a good value!",
                 "Increase your $ invested")))))</f>
        <v>Doing great, keep it up! 20% invested means $359,52. It´s a good value!</v>
      </c>
      <c r="AC7" s="59"/>
      <c r="AD7" s="59"/>
      <c r="AE7" s="59"/>
      <c r="AF7" s="59"/>
      <c r="AG7" s="59"/>
      <c r="AH7" s="59"/>
      <c r="AI7" s="59"/>
      <c r="AJ7" s="59"/>
      <c r="AK7" s="59"/>
      <c r="AL7" s="59"/>
      <c r="AM7" s="59"/>
      <c r="AN7" s="59"/>
      <c r="AO7" s="5"/>
      <c r="AP7" s="1"/>
      <c r="AQ7" s="69"/>
      <c r="AW7" s="70"/>
      <c r="AX7" s="71"/>
      <c r="BA7" s="70"/>
      <c r="BB7" s="72" t="str">
        <f>IFERROR(IF(AX7="","",
   AX7*($AJ$5*SUM(February!Feb_Income))),
"")</f>
        <v/>
      </c>
      <c r="BG7" s="70"/>
      <c r="BH7" s="71"/>
      <c r="BK7" s="70"/>
      <c r="BL7" s="73" t="str">
        <f>IF(BH7="","",
   IF(January!BX7="",0,
      January!BX7))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AX8*($AJ$5*SUM(February!Feb_Income))),
"")</f>
        <v/>
      </c>
      <c r="BG8" s="70"/>
      <c r="BH8" s="71"/>
      <c r="BK8" s="70"/>
      <c r="BL8" s="73" t="str">
        <f>IF(BH8="","",
   IF(January!BX8="",0,
      January!BX8))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AX9*($AJ$5*SUM(February!Feb_Income))),
"")</f>
        <v/>
      </c>
      <c r="BG9" s="70"/>
      <c r="BH9" s="71"/>
      <c r="BK9" s="70"/>
      <c r="BL9" s="73" t="str">
        <f>IF(BH9="","",
   IF(January!BX9="",0,
      January!BX9))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AJ3+January!T11</f>
        <v>1050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SUM(February!Feb_Amo_Invested)-(V1*SUM(February!Feb_Income))</f>
        <v>359.524</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t="s">
        <v>3</v>
      </c>
      <c r="AC14" s="65"/>
      <c r="AD14" s="65"/>
      <c r="AE14" s="65"/>
      <c r="AF14" s="65"/>
      <c r="AG14" s="65"/>
      <c r="AH14" s="65"/>
      <c r="AI14" s="98"/>
      <c r="AJ14" s="99">
        <v>1000.0</v>
      </c>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AQ16-January!AQ16</f>
        <v>5.8961936</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5.8961936</v>
      </c>
      <c r="AR16" s="24"/>
      <c r="AS16" s="24"/>
      <c r="AT16" s="24"/>
      <c r="AU16" s="24"/>
      <c r="AV16" s="24"/>
      <c r="AW16" s="25"/>
      <c r="AX16" s="1"/>
      <c r="AY16" s="102">
        <f>Database!J3</f>
        <v>0.058961936</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SUM(February!Feb_Total_Invested)</f>
        <v>365.4201936</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(SUM(February!Feb_Income)-U25)-(AJ5*SUM(February!Feb_Income))-(AJ6*(SUM(February!Feb_Income)))-SUM(February!Feb_Happiness)-AJ3</f>
        <v>122.3816</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AQ10:CB10"/>
    <mergeCell ref="BL9:BQ9"/>
    <mergeCell ref="BR9:BW9"/>
    <mergeCell ref="BH8:BK8"/>
    <mergeCell ref="BX8:CB8"/>
    <mergeCell ref="BH9:BK9"/>
    <mergeCell ref="BX9:CB9"/>
    <mergeCell ref="BL7:BQ7"/>
    <mergeCell ref="BL8:BQ8"/>
    <mergeCell ref="BR7:BW7"/>
    <mergeCell ref="BR8:BW8"/>
    <mergeCell ref="BH6:BK6"/>
    <mergeCell ref="BX6:CB6"/>
    <mergeCell ref="BH7:BK7"/>
    <mergeCell ref="BX7:CB7"/>
    <mergeCell ref="BL6:BQ6"/>
    <mergeCell ref="BL5:BQ5"/>
    <mergeCell ref="BR5:BW5"/>
    <mergeCell ref="BR6:BW6"/>
    <mergeCell ref="BH2:BK2"/>
    <mergeCell ref="BL2:BQ2"/>
    <mergeCell ref="BR2:BW2"/>
    <mergeCell ref="BX2:CB2"/>
    <mergeCell ref="M2:S2"/>
    <mergeCell ref="M3:S3"/>
    <mergeCell ref="AB2:AI2"/>
    <mergeCell ref="AB3:AI3"/>
    <mergeCell ref="AQ2:AW2"/>
    <mergeCell ref="AQ3:AW3"/>
    <mergeCell ref="AX3:BA3"/>
    <mergeCell ref="BB3:BG3"/>
    <mergeCell ref="BH3:BK3"/>
    <mergeCell ref="BX3:CB3"/>
    <mergeCell ref="BL3:BQ3"/>
    <mergeCell ref="BR3:BW3"/>
    <mergeCell ref="M4:S4"/>
    <mergeCell ref="T4:Z4"/>
    <mergeCell ref="AQ4:AW4"/>
    <mergeCell ref="AX4:BA4"/>
    <mergeCell ref="BH4:BK4"/>
    <mergeCell ref="BX4:CB4"/>
    <mergeCell ref="BH5:BK5"/>
    <mergeCell ref="BX5:CB5"/>
    <mergeCell ref="BL4:BQ4"/>
    <mergeCell ref="BR4:BW4"/>
    <mergeCell ref="T3:Z3"/>
    <mergeCell ref="M5:S5"/>
    <mergeCell ref="T5:Z5"/>
    <mergeCell ref="AB5:AI5"/>
    <mergeCell ref="AJ5:AO5"/>
    <mergeCell ref="AQ5:AW5"/>
    <mergeCell ref="AX5:BA5"/>
    <mergeCell ref="T2:Z2"/>
    <mergeCell ref="M6:S6"/>
    <mergeCell ref="T6:Z6"/>
    <mergeCell ref="AB6:AI6"/>
    <mergeCell ref="AJ6:AO6"/>
    <mergeCell ref="AQ6:AW6"/>
    <mergeCell ref="AX6:BA6"/>
    <mergeCell ref="BB6:BG6"/>
    <mergeCell ref="M7:S7"/>
    <mergeCell ref="T7:Z7"/>
    <mergeCell ref="AQ7:AW7"/>
    <mergeCell ref="AX7:BA7"/>
    <mergeCell ref="BB7:BG7"/>
    <mergeCell ref="AQ8:AW8"/>
    <mergeCell ref="AX8:BA8"/>
    <mergeCell ref="BB8:BG8"/>
    <mergeCell ref="AQ9:AW9"/>
    <mergeCell ref="AX9:BA9"/>
    <mergeCell ref="BB9:BG9"/>
    <mergeCell ref="M11:S11"/>
    <mergeCell ref="T11:Z11"/>
    <mergeCell ref="M12:S12"/>
    <mergeCell ref="T12:Z12"/>
    <mergeCell ref="M14:S14"/>
    <mergeCell ref="M13:S13"/>
    <mergeCell ref="T13:Z13"/>
    <mergeCell ref="T14:Z14"/>
    <mergeCell ref="AB12:AI12"/>
    <mergeCell ref="AJ12:AO12"/>
    <mergeCell ref="AQ12:AW12"/>
    <mergeCell ref="AB13:AI13"/>
    <mergeCell ref="AJ13:AO13"/>
    <mergeCell ref="AQ13:AW13"/>
    <mergeCell ref="AY12:BE14"/>
    <mergeCell ref="AB14:AI14"/>
    <mergeCell ref="AJ14:AO14"/>
    <mergeCell ref="AB15:AI15"/>
    <mergeCell ref="AJ15:AO15"/>
    <mergeCell ref="AQ15:AW15"/>
    <mergeCell ref="AB16:AI16"/>
    <mergeCell ref="AJ16:AO16"/>
    <mergeCell ref="AQ16:AW16"/>
    <mergeCell ref="M15:S15"/>
    <mergeCell ref="M16:S16"/>
    <mergeCell ref="T15:Z15"/>
    <mergeCell ref="T16:Z16"/>
    <mergeCell ref="AB17:AI17"/>
    <mergeCell ref="AJ17:AO17"/>
    <mergeCell ref="M17:S17"/>
    <mergeCell ref="M18:S18"/>
    <mergeCell ref="T17:Z17"/>
    <mergeCell ref="T18:Z18"/>
    <mergeCell ref="AB7:AO10"/>
    <mergeCell ref="M8:S8"/>
    <mergeCell ref="T8:Z8"/>
    <mergeCell ref="M9:S9"/>
    <mergeCell ref="T9:Z9"/>
    <mergeCell ref="M10:S10"/>
    <mergeCell ref="T10:Z10"/>
    <mergeCell ref="AQ22:AW22"/>
    <mergeCell ref="M23:S23"/>
    <mergeCell ref="T23:Z23"/>
    <mergeCell ref="M24:S24"/>
    <mergeCell ref="T24:Z24"/>
    <mergeCell ref="M19:S19"/>
    <mergeCell ref="T19:Z19"/>
    <mergeCell ref="AY15:BE15"/>
    <mergeCell ref="AY16:BE16"/>
    <mergeCell ref="B2:K2"/>
    <mergeCell ref="AX2:BA2"/>
    <mergeCell ref="BB2:BG2"/>
    <mergeCell ref="B3:K24"/>
    <mergeCell ref="AJ3:AO3"/>
    <mergeCell ref="BB4:BG4"/>
    <mergeCell ref="BB5:BG5"/>
    <mergeCell ref="AB18:AI18"/>
    <mergeCell ref="AJ18:AO18"/>
    <mergeCell ref="AQ18:AW18"/>
    <mergeCell ref="AB19:AI19"/>
    <mergeCell ref="AJ19:AO19"/>
    <mergeCell ref="AQ19:AW19"/>
    <mergeCell ref="M20:S20"/>
    <mergeCell ref="T20:Z20"/>
    <mergeCell ref="AB20:AI20"/>
    <mergeCell ref="AJ20:AO20"/>
    <mergeCell ref="M21:S21"/>
    <mergeCell ref="T21:Z21"/>
    <mergeCell ref="AB21:AO24"/>
    <mergeCell ref="AQ21:AW21"/>
    <mergeCell ref="M22:S22"/>
    <mergeCell ref="T22:Z2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IF((SUM(March!Mar_Income)-V25)-(AJ5*SUM(March!Mar_Income))-(AJ6*(SUM(March!Mar_Income)))-SUM(March!Mar_Happiness)&lt;70,
   "Mate, slow down on the parties ok? You're going broke like that. Less fun budget for you. ",
      "Hey, with this planning you pay all your bills, invests and still have something left for your happy things. This is perfect! You'll still have "
&amp;DOLLAR(SUM(March!Mar_Income)-V25-(AJ5*SUM(March!Mar_Income))-(AJ6*(SUM(March!Mar_Income)))-SUM(March!Mar_Happiness)-AJ3)
         &amp;" left to buy whatever guilty pleasure you feel like. "
&amp;
IFERROR(ROUND((1-(AJ5+AJ6+(V25/SUM(March!Mar_Income))))*100,2)
   &amp;"% of your money is left after investing and liabilities, or "
   &amp;DOLLAR((SUM(March!Mar_Income)-V25)-(AJ5*SUM(March!Mar_Income))-(AJ6*(SUM(March!Mar_Income))))
   &amp;". "
   &amp;IF(AND(AK2=TRUE,T11&gt;March!Mar_Liabilities*12),"You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&amp;DOLLAR(SUM(March!Mar_Income)-V25)
      &amp;IF(T11&gt;SUM(March!Mar_Liabilities)*4," and excelent savings, good job",
         IF(T11&gt;SUM(March!Mar_Liabilities)*2," and ok savings, try saving more",
            IF(AK2=FALSE," but with terrible savings. Make it a priority! Save at least 4 times your expenses",""))),
""))</f>
        <v>Hey, with this planning you pay all your bills, invests and still have something left for your happy things. This is perfect! You'll still have $159,53 left to buy whatever guilty pleasure you feel like. 62% of your money is left after investing and liabilities, or $1.009,53. Way to go, mate!. You'll start the month with $1.628,28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50.0</v>
      </c>
      <c r="AK3" s="51"/>
      <c r="AL3" s="51"/>
      <c r="AM3" s="51"/>
      <c r="AN3" s="51"/>
      <c r="AO3" s="52"/>
      <c r="AP3" s="1"/>
      <c r="AQ3" s="69" t="s">
        <v>40</v>
      </c>
      <c r="AW3" s="70"/>
      <c r="AX3" s="71">
        <v>0.4</v>
      </c>
      <c r="BA3" s="70"/>
      <c r="BB3" s="72">
        <f>IFERROR(IF(AX3="","",
   AX3*($AJ$5*SUM(March!Mar_Income))),
"")</f>
        <v>162.8277794</v>
      </c>
      <c r="BG3" s="70"/>
      <c r="BH3" s="71">
        <v>0.02</v>
      </c>
      <c r="BK3" s="70"/>
      <c r="BL3" s="73">
        <f>IF(BH3="","",
   IF(February!BX3="",0,
      February!BX3))</f>
        <v>146.685792</v>
      </c>
      <c r="BQ3" s="70"/>
      <c r="BR3" s="72">
        <f t="shared" ref="BR3:BR9" si="1">IFERROR(
   IF(BB3="","",
      (BB3+BL3)*BH3)
,"")</f>
        <v>6.190271427</v>
      </c>
      <c r="BW3" s="70"/>
      <c r="BX3" s="74">
        <f t="shared" ref="BX3:BX9" si="2">IFERROR(
   IF(BH3="","",
      ((BB3+BL3)+(BB3+BL3)*BH3)),
"")</f>
        <v>315.7038428</v>
      </c>
      <c r="CB3" s="75"/>
      <c r="CC3" s="1"/>
    </row>
    <row r="4" ht="14.25" customHeight="1">
      <c r="A4" s="1"/>
      <c r="B4" s="76"/>
      <c r="K4" s="77"/>
      <c r="L4" s="1"/>
      <c r="M4" s="64" t="s">
        <v>4</v>
      </c>
      <c r="N4" s="65"/>
      <c r="O4" s="65"/>
      <c r="P4" s="65"/>
      <c r="Q4" s="65"/>
      <c r="R4" s="65"/>
      <c r="S4" s="65"/>
      <c r="T4" s="66">
        <f>February!AQ22</f>
        <v>122.3816</v>
      </c>
      <c r="Z4" s="67"/>
      <c r="AA4" s="1"/>
      <c r="AB4" s="1"/>
      <c r="AC4" s="1"/>
      <c r="AD4" s="1"/>
      <c r="AE4" s="1"/>
      <c r="AF4" s="1"/>
      <c r="AG4" s="1"/>
      <c r="AH4" s="1"/>
      <c r="AI4" s="1"/>
      <c r="AJ4" s="1"/>
      <c r="AK4" s="1"/>
      <c r="AL4" s="1"/>
      <c r="AM4" s="1"/>
      <c r="AN4" s="1"/>
      <c r="AO4" s="1"/>
      <c r="AP4" s="1"/>
      <c r="AQ4" s="69" t="s">
        <v>41</v>
      </c>
      <c r="AW4" s="70"/>
      <c r="AX4" s="71">
        <v>0.3</v>
      </c>
      <c r="BA4" s="70"/>
      <c r="BB4" s="72">
        <f>IFERROR(IF(AX4="","",
   AX4*($AJ$5*SUM(March!Mar_Income))),
"")</f>
        <v>122.1208345</v>
      </c>
      <c r="BG4" s="70"/>
      <c r="BH4" s="71">
        <v>0.015</v>
      </c>
      <c r="BK4" s="70"/>
      <c r="BL4" s="73">
        <f>IF(BH4="","",
   IF(February!BX4="",0,
      February!BX4))</f>
        <v>109.475058</v>
      </c>
      <c r="BQ4" s="70"/>
      <c r="BR4" s="72">
        <f t="shared" si="1"/>
        <v>3.473938388</v>
      </c>
      <c r="BW4" s="70"/>
      <c r="BX4" s="74">
        <f t="shared" si="2"/>
        <v>235.0698309</v>
      </c>
      <c r="CB4" s="75"/>
      <c r="CC4" s="1"/>
    </row>
    <row r="5" ht="15.0" customHeight="1">
      <c r="A5" s="1"/>
      <c r="B5" s="76"/>
      <c r="K5" s="77"/>
      <c r="L5" s="1"/>
      <c r="M5" s="64" t="s">
        <v>8</v>
      </c>
      <c r="N5" s="65"/>
      <c r="O5" s="65"/>
      <c r="P5" s="65"/>
      <c r="Q5" s="65"/>
      <c r="R5" s="65"/>
      <c r="S5" s="65"/>
      <c r="T5" s="66">
        <f>February!AQ16</f>
        <v>5.8961936</v>
      </c>
      <c r="Z5" s="67"/>
      <c r="AA5" s="1"/>
      <c r="AB5" s="78" t="s">
        <v>26</v>
      </c>
      <c r="AC5" s="59"/>
      <c r="AD5" s="59"/>
      <c r="AE5" s="59"/>
      <c r="AF5" s="59"/>
      <c r="AG5" s="59"/>
      <c r="AH5" s="59"/>
      <c r="AI5" s="5"/>
      <c r="AJ5" s="79">
        <v>0.25</v>
      </c>
      <c r="AK5" s="59"/>
      <c r="AL5" s="59"/>
      <c r="AM5" s="59"/>
      <c r="AN5" s="59"/>
      <c r="AO5" s="5"/>
      <c r="AP5" s="1"/>
      <c r="AQ5" s="69" t="s">
        <v>42</v>
      </c>
      <c r="AW5" s="70"/>
      <c r="AX5" s="71">
        <v>0.3</v>
      </c>
      <c r="BA5" s="70"/>
      <c r="BB5" s="72">
        <f>IFERROR(IF(AX5="","",
   AX5*($AJ$5*SUM(March!Mar_Income))),
"")</f>
        <v>122.1208345</v>
      </c>
      <c r="BG5" s="70"/>
      <c r="BH5" s="71">
        <v>0.013</v>
      </c>
      <c r="BK5" s="70"/>
      <c r="BL5" s="73">
        <f>IF(BH5="","",
   IF(February!BX5="",0,
      February!BX5))</f>
        <v>109.2593436</v>
      </c>
      <c r="BQ5" s="70"/>
      <c r="BR5" s="72">
        <f t="shared" si="1"/>
        <v>3.007942316</v>
      </c>
      <c r="BW5" s="70"/>
      <c r="BX5" s="74">
        <f t="shared" si="2"/>
        <v>234.3881204</v>
      </c>
      <c r="CB5" s="75"/>
      <c r="CC5" s="1"/>
    </row>
    <row r="6" ht="15.0" customHeight="1">
      <c r="A6" s="1"/>
      <c r="B6" s="76"/>
      <c r="K6" s="77"/>
      <c r="L6" s="1"/>
      <c r="M6" s="64" t="s">
        <v>9</v>
      </c>
      <c r="N6" s="65"/>
      <c r="O6" s="65"/>
      <c r="P6" s="65"/>
      <c r="Q6" s="65"/>
      <c r="R6" s="65"/>
      <c r="S6" s="65"/>
      <c r="T6" s="66"/>
      <c r="Z6" s="67"/>
      <c r="AA6" s="1"/>
      <c r="AB6" s="69" t="s">
        <v>27</v>
      </c>
      <c r="AI6" s="75"/>
      <c r="AJ6" s="71">
        <f>IF(IFERROR(ROUND(SUM(March!Mar_Liabilities)/SUM(March!Mar_Income),2),"")=0,"",
   ROUND(SUM(March!Mar_Liabilities)/SUM(March!Mar_Income),2))</f>
        <v>0.13</v>
      </c>
      <c r="AO6" s="75"/>
      <c r="AP6" s="1"/>
      <c r="AQ6" s="69"/>
      <c r="AW6" s="70"/>
      <c r="AX6" s="71"/>
      <c r="BA6" s="70"/>
      <c r="BB6" s="72" t="str">
        <f>IFERROR(IF(AX6="","",
   AX6*($AJ$5*SUM(March!Mar_Income))),
"")</f>
        <v/>
      </c>
      <c r="BG6" s="70"/>
      <c r="BH6" s="71"/>
      <c r="BK6" s="70"/>
      <c r="BL6" s="73" t="str">
        <f>IF(BH6="","",
   IF(February!BX6="",0,
      February!BX6))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"&amp;DOLLAR(AJ5*(SUM(March!Mar_Income)))&amp;". "
         &amp;IF(AJ5&gt;55%,"Its an excellent value!",
            IF(AJ5&gt;39%,"Its a great percentage!",
               IF(AJ5&gt;19%,"It´s a good value!",
                 "Increase your $ invested")))))</f>
        <v>Doing great, keep it up! 25% invested means $407,07. It´s a good value!</v>
      </c>
      <c r="AC7" s="59"/>
      <c r="AD7" s="59"/>
      <c r="AE7" s="59"/>
      <c r="AF7" s="59"/>
      <c r="AG7" s="59"/>
      <c r="AH7" s="59"/>
      <c r="AI7" s="59"/>
      <c r="AJ7" s="59"/>
      <c r="AK7" s="59"/>
      <c r="AL7" s="59"/>
      <c r="AM7" s="59"/>
      <c r="AN7" s="59"/>
      <c r="AO7" s="5"/>
      <c r="AP7" s="1"/>
      <c r="AQ7" s="69"/>
      <c r="AW7" s="70"/>
      <c r="AX7" s="71"/>
      <c r="BA7" s="70"/>
      <c r="BB7" s="72" t="str">
        <f>IFERROR(IF(AX7="","",
   AX7*($AJ$5*SUM(March!Mar_Income))),
"")</f>
        <v/>
      </c>
      <c r="BG7" s="70"/>
      <c r="BH7" s="71"/>
      <c r="BK7" s="70"/>
      <c r="BL7" s="73" t="str">
        <f>IF(BH7="","",
   IF(February!BX7="",0,
      February!BX7))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AX8*($AJ$5*SUM(March!Mar_Income))),
"")</f>
        <v/>
      </c>
      <c r="BG8" s="70"/>
      <c r="BH8" s="71"/>
      <c r="BK8" s="70"/>
      <c r="BL8" s="73" t="str">
        <f>IF(BH8="","",
   IF(February!BX8="",0,
      February!BX8))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AX9*($AJ$5*SUM(March!Mar_Income))),
"")</f>
        <v/>
      </c>
      <c r="BG9" s="70"/>
      <c r="BH9" s="71"/>
      <c r="BK9" s="70"/>
      <c r="BL9" s="73" t="str">
        <f>IF(BH9="","",
   IF(February!BX9="",0,
      February!BX9))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AJ3+February!T11</f>
        <v>1100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SUM(March!Mar_Amo_Invested)-(V1*SUM(March!Mar_Income))</f>
        <v>407.0694484</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t="s">
        <v>3</v>
      </c>
      <c r="AC14" s="65"/>
      <c r="AD14" s="65"/>
      <c r="AE14" s="65"/>
      <c r="AF14" s="65"/>
      <c r="AG14" s="65"/>
      <c r="AH14" s="65"/>
      <c r="AI14" s="98"/>
      <c r="AJ14" s="99">
        <v>750.0</v>
      </c>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AQ16-February!AQ16</f>
        <v>6.775958531</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12.67215213</v>
      </c>
      <c r="AR16" s="24"/>
      <c r="AS16" s="24"/>
      <c r="AT16" s="24"/>
      <c r="AU16" s="24"/>
      <c r="AV16" s="24"/>
      <c r="AW16" s="25"/>
      <c r="AX16" s="1"/>
      <c r="AY16" s="102">
        <f>Database!J4</f>
        <v>0.02149208963</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SUM(March!Mar_Total_Invested)</f>
        <v>785.1617941</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(SUM(March!Mar_Income)-U25)-(AJ5*SUM(March!Mar_Income))-(AJ6*(SUM(March!Mar_Income)))-SUM(March!Mar_Happiness)-AJ3</f>
        <v>159.532232</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AB20:AI20"/>
    <mergeCell ref="AJ20:AO20"/>
    <mergeCell ref="AB17:AI17"/>
    <mergeCell ref="AJ17:AO17"/>
    <mergeCell ref="AJ18:AO18"/>
    <mergeCell ref="AJ19:AO19"/>
    <mergeCell ref="AJ16:AO16"/>
    <mergeCell ref="M18:S18"/>
    <mergeCell ref="M19:S19"/>
    <mergeCell ref="M16:S16"/>
    <mergeCell ref="M17:S17"/>
    <mergeCell ref="AQ21:AW21"/>
    <mergeCell ref="AQ22:AW22"/>
    <mergeCell ref="T20:Z20"/>
    <mergeCell ref="T21:Z21"/>
    <mergeCell ref="T16:Z16"/>
    <mergeCell ref="T17:Z17"/>
    <mergeCell ref="T18:Z18"/>
    <mergeCell ref="T19:Z19"/>
    <mergeCell ref="AB18:AI18"/>
    <mergeCell ref="AB19:AI19"/>
    <mergeCell ref="AQ18:AW18"/>
    <mergeCell ref="AQ19:AW19"/>
    <mergeCell ref="M20:S20"/>
    <mergeCell ref="M21:S21"/>
    <mergeCell ref="M22:S22"/>
    <mergeCell ref="T22:Z22"/>
    <mergeCell ref="BL2:BQ2"/>
    <mergeCell ref="AQ2:AW2"/>
    <mergeCell ref="AX2:BA2"/>
    <mergeCell ref="BB2:BG2"/>
    <mergeCell ref="BH2:BK2"/>
    <mergeCell ref="BR3:BW3"/>
    <mergeCell ref="BX3:CB3"/>
    <mergeCell ref="AQ4:AW4"/>
    <mergeCell ref="AX4:BA4"/>
    <mergeCell ref="AQ5:AW5"/>
    <mergeCell ref="AX5:BA5"/>
    <mergeCell ref="BL4:BQ4"/>
    <mergeCell ref="BL5:BQ5"/>
    <mergeCell ref="BR4:BW4"/>
    <mergeCell ref="BR5:BW5"/>
    <mergeCell ref="BB4:BG4"/>
    <mergeCell ref="BB5:BG5"/>
    <mergeCell ref="BH4:BK4"/>
    <mergeCell ref="BH5:BK5"/>
    <mergeCell ref="BR2:BW2"/>
    <mergeCell ref="BX2:CB2"/>
    <mergeCell ref="BL3:BQ3"/>
    <mergeCell ref="BB8:BG8"/>
    <mergeCell ref="BH8:BK8"/>
    <mergeCell ref="T8:Z8"/>
    <mergeCell ref="M8:S8"/>
    <mergeCell ref="M9:S9"/>
    <mergeCell ref="AQ8:AW8"/>
    <mergeCell ref="AQ9:AW9"/>
    <mergeCell ref="AB13:AI13"/>
    <mergeCell ref="AJ13:AO13"/>
    <mergeCell ref="AQ13:AW13"/>
    <mergeCell ref="AJ14:AO14"/>
    <mergeCell ref="AQ12:AW12"/>
    <mergeCell ref="AB12:AI12"/>
    <mergeCell ref="AJ12:AO12"/>
    <mergeCell ref="AY12:BE14"/>
    <mergeCell ref="M10:S10"/>
    <mergeCell ref="B2:K2"/>
    <mergeCell ref="M7:S7"/>
    <mergeCell ref="M5:S5"/>
    <mergeCell ref="M2:S2"/>
    <mergeCell ref="M4:S4"/>
    <mergeCell ref="M6:S6"/>
    <mergeCell ref="AQ6:AW6"/>
    <mergeCell ref="AB6:AI6"/>
    <mergeCell ref="AJ6:AO6"/>
    <mergeCell ref="AB5:AI5"/>
    <mergeCell ref="AJ5:AO5"/>
    <mergeCell ref="AB2:AI2"/>
    <mergeCell ref="AB3:AI3"/>
    <mergeCell ref="T11:Z11"/>
    <mergeCell ref="T12:Z12"/>
    <mergeCell ref="T2:Z2"/>
    <mergeCell ref="T4:Z4"/>
    <mergeCell ref="T5:Z5"/>
    <mergeCell ref="T6:Z6"/>
    <mergeCell ref="T7:Z7"/>
    <mergeCell ref="T9:Z9"/>
    <mergeCell ref="T10:Z10"/>
    <mergeCell ref="M14:S14"/>
    <mergeCell ref="T14:Z14"/>
    <mergeCell ref="M13:S13"/>
    <mergeCell ref="T13:Z13"/>
    <mergeCell ref="M11:S11"/>
    <mergeCell ref="M12:S12"/>
    <mergeCell ref="AX8:BA8"/>
    <mergeCell ref="AX6:BA6"/>
    <mergeCell ref="BB6:BG6"/>
    <mergeCell ref="BH6:BK6"/>
    <mergeCell ref="AX7:BA7"/>
    <mergeCell ref="BB7:BG7"/>
    <mergeCell ref="AQ7:AW7"/>
    <mergeCell ref="AX3:BA3"/>
    <mergeCell ref="BB3:BG3"/>
    <mergeCell ref="AQ3:AW3"/>
    <mergeCell ref="BH3:BK3"/>
    <mergeCell ref="BL6:BQ6"/>
    <mergeCell ref="BL7:BQ7"/>
    <mergeCell ref="BL8:BQ8"/>
    <mergeCell ref="BL9:BQ9"/>
    <mergeCell ref="BB9:BG9"/>
    <mergeCell ref="AQ10:CB10"/>
    <mergeCell ref="AX9:BA9"/>
    <mergeCell ref="BH9:BK9"/>
    <mergeCell ref="BX9:CB9"/>
    <mergeCell ref="BR9:BW9"/>
    <mergeCell ref="BX6:CB6"/>
    <mergeCell ref="BX4:CB4"/>
    <mergeCell ref="BX5:CB5"/>
    <mergeCell ref="BR6:BW6"/>
    <mergeCell ref="BR7:BW7"/>
    <mergeCell ref="BR8:BW8"/>
    <mergeCell ref="M23:S23"/>
    <mergeCell ref="M24:S24"/>
    <mergeCell ref="B3:K24"/>
    <mergeCell ref="M15:S15"/>
    <mergeCell ref="M3:S3"/>
    <mergeCell ref="T3:Z3"/>
    <mergeCell ref="AJ3:AO3"/>
    <mergeCell ref="AB15:AI15"/>
    <mergeCell ref="AB7:AO10"/>
    <mergeCell ref="AB14:AI14"/>
    <mergeCell ref="AB21:AO24"/>
    <mergeCell ref="T24:Z24"/>
    <mergeCell ref="T23:Z23"/>
    <mergeCell ref="T15:Z15"/>
    <mergeCell ref="AY15:BE15"/>
    <mergeCell ref="AY16:BE16"/>
    <mergeCell ref="AB16:AI16"/>
    <mergeCell ref="AJ15:AO15"/>
    <mergeCell ref="AQ15:AW15"/>
    <mergeCell ref="AQ16:AW16"/>
    <mergeCell ref="BX7:CB7"/>
    <mergeCell ref="BX8:CB8"/>
    <mergeCell ref="BH7:BK7"/>
  </mergeCells>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IF((SUM(April!Apr_Income)-V25)-(AJ5*SUM(April!Apr_Income))-(AJ6*(SUM(April!Apr_Income)))-SUM(April!Apr_Happiness)&lt;70,
   "Mate, slow down on the parties ok? You're going broke like that. Less fun budget for you. ",
      "Hey, with this planning you pay all your bills, invests and still have something left for your happy things. This is perfect! You'll still have "
&amp;DOLLAR(SUM(April!Apr_Income)-V25-(AJ5*SUM(April!Apr_Income))-(AJ6*(SUM(April!Apr_Income)))-SUM(April!Apr_Happiness)-AJ3)
         &amp;" left to buy whatever guilty pleasure you feel like. "
&amp;
IFERROR(ROUND((1-(AJ5+AJ6+(V25/SUM(April!Apr_Income))))*100,2)
   &amp;"% of your money is left after investing and liabilities, or "
   &amp;DOLLAR((SUM(April!Apr_Income)-V25)-(AJ5*SUM(April!Apr_Income))-(AJ6*(SUM(April!Apr_Income))))
   &amp;". "
   &amp;IF(AND(AK2=TRUE,T11&gt;April!Apr_Liabilities*12),"You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&amp;DOLLAR(SUM(April!Apr_Income)-V25)
      &amp;IF(T11&gt;SUM(April!Apr_Liabilities)*4," and excelent savings, good job",
         IF(T11&gt;SUM(April!Apr_Liabilities)*2," and ok savings, try saving more",
            IF(AK2=FALSE," but with terrible savings. Make it a priority! Save at least 4 times your expenses",""))),
""))</f>
        <v>Hey, with this planning you pay all your bills, invests and still have something left for your happy things. This is perfect! You'll still have $217,88 left to buy whatever guilty pleasure you feel like. 22% of your money is left after investing and liabilities, or $367,88. If you can manage it's ok. You'll start the month with $1.672,20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AX3*($AJ$5*SUM(April!Apr_Income))),
"")</f>
        <v>434.7731399</v>
      </c>
      <c r="BG3" s="70"/>
      <c r="BH3" s="71">
        <v>0.02</v>
      </c>
      <c r="BK3" s="70"/>
      <c r="BL3" s="73">
        <f>IF(BH3="","",
   IF(March!BX3="",0,
      March!BX3))</f>
        <v>315.7038428</v>
      </c>
      <c r="BQ3" s="70"/>
      <c r="BR3" s="72">
        <f t="shared" ref="BR3:BR9" si="1">IFERROR(
   IF(BB3="","",
      (BB3+BL3)*BH3)
,"")</f>
        <v>15.00953965</v>
      </c>
      <c r="BW3" s="70"/>
      <c r="BX3" s="74">
        <f t="shared" ref="BX3:BX9" si="2">IFERROR(
   IF(BH3="","",
      ((BB3+BL3)+(BB3+BL3)*BH3)),
"")</f>
        <v>765.4865223</v>
      </c>
      <c r="CB3" s="75"/>
      <c r="CC3" s="1"/>
    </row>
    <row r="4" ht="14.25" customHeight="1">
      <c r="A4" s="1"/>
      <c r="B4" s="76"/>
      <c r="K4" s="77"/>
      <c r="L4" s="1"/>
      <c r="M4" s="64" t="s">
        <v>4</v>
      </c>
      <c r="N4" s="65"/>
      <c r="O4" s="65"/>
      <c r="P4" s="65"/>
      <c r="Q4" s="65"/>
      <c r="R4" s="65"/>
      <c r="S4" s="65"/>
      <c r="T4" s="66">
        <f>March!AQ22</f>
        <v>159.532232</v>
      </c>
      <c r="Z4" s="67"/>
      <c r="AA4" s="1"/>
      <c r="AB4" s="1"/>
      <c r="AC4" s="1"/>
      <c r="AD4" s="1"/>
      <c r="AE4" s="1"/>
      <c r="AF4" s="1"/>
      <c r="AG4" s="1"/>
      <c r="AH4" s="1"/>
      <c r="AI4" s="1"/>
      <c r="AJ4" s="1"/>
      <c r="AK4" s="1"/>
      <c r="AL4" s="1"/>
      <c r="AM4" s="1"/>
      <c r="AN4" s="1"/>
      <c r="AO4" s="1"/>
      <c r="AP4" s="1"/>
      <c r="AQ4" s="69" t="s">
        <v>41</v>
      </c>
      <c r="AW4" s="70"/>
      <c r="AX4" s="71">
        <v>0.3</v>
      </c>
      <c r="BA4" s="70"/>
      <c r="BB4" s="72">
        <f>IFERROR(IF(AX4="","",
   AX4*($AJ$5*SUM(April!Apr_Income))),
"")</f>
        <v>326.0798549</v>
      </c>
      <c r="BG4" s="70"/>
      <c r="BH4" s="71">
        <v>0.015</v>
      </c>
      <c r="BK4" s="70"/>
      <c r="BL4" s="73">
        <f>IF(BH4="","",
   IF(March!BX4="",0,
      March!BX4))</f>
        <v>235.0698309</v>
      </c>
      <c r="BQ4" s="70"/>
      <c r="BR4" s="72">
        <f t="shared" si="1"/>
        <v>8.417245287</v>
      </c>
      <c r="BW4" s="70"/>
      <c r="BX4" s="74">
        <f t="shared" si="2"/>
        <v>569.5669311</v>
      </c>
      <c r="CB4" s="75"/>
      <c r="CC4" s="1"/>
    </row>
    <row r="5" ht="15.0" customHeight="1">
      <c r="A5" s="1"/>
      <c r="B5" s="76"/>
      <c r="K5" s="77"/>
      <c r="L5" s="1"/>
      <c r="M5" s="64" t="s">
        <v>8</v>
      </c>
      <c r="N5" s="65"/>
      <c r="O5" s="65"/>
      <c r="P5" s="65"/>
      <c r="Q5" s="65"/>
      <c r="R5" s="65"/>
      <c r="S5" s="65"/>
      <c r="T5" s="66">
        <f>March!AQ16</f>
        <v>12.67215213</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AX5*($AJ$5*SUM(April!Apr_Income))),
"")</f>
        <v>326.0798549</v>
      </c>
      <c r="BG5" s="70"/>
      <c r="BH5" s="71">
        <v>0.013</v>
      </c>
      <c r="BK5" s="70"/>
      <c r="BL5" s="73">
        <f>IF(BH5="","",
   IF(March!BX5="",0,
      March!BX5))</f>
        <v>234.3881204</v>
      </c>
      <c r="BQ5" s="70"/>
      <c r="BR5" s="72">
        <f t="shared" si="1"/>
        <v>7.28608368</v>
      </c>
      <c r="BW5" s="70"/>
      <c r="BX5" s="74">
        <f t="shared" si="2"/>
        <v>567.754059</v>
      </c>
      <c r="CB5" s="75"/>
      <c r="CC5" s="1"/>
    </row>
    <row r="6" ht="15.0" customHeight="1">
      <c r="A6" s="1"/>
      <c r="B6" s="76"/>
      <c r="K6" s="77"/>
      <c r="L6" s="1"/>
      <c r="M6" s="64" t="s">
        <v>9</v>
      </c>
      <c r="N6" s="65"/>
      <c r="O6" s="65"/>
      <c r="P6" s="65"/>
      <c r="Q6" s="65"/>
      <c r="R6" s="65"/>
      <c r="S6" s="65"/>
      <c r="T6" s="66"/>
      <c r="Z6" s="67"/>
      <c r="AA6" s="1"/>
      <c r="AB6" s="69" t="s">
        <v>27</v>
      </c>
      <c r="AI6" s="75"/>
      <c r="AJ6" s="71">
        <f>IF(IFERROR(ROUND(SUM(April!Apr_Liabilities)/SUM(April!Apr_Income),2),"")=0,"",
   ROUND(SUM(April!Apr_Liabilities)/SUM(April!Apr_Income),2))</f>
        <v>0.13</v>
      </c>
      <c r="AO6" s="75"/>
      <c r="AP6" s="1"/>
      <c r="AQ6" s="69"/>
      <c r="AW6" s="70"/>
      <c r="AX6" s="71"/>
      <c r="BA6" s="70"/>
      <c r="BB6" s="72" t="str">
        <f>IFERROR(IF(AX6="","",
   AX6*($AJ$5*SUM(April!Apr_Income))),
"")</f>
        <v/>
      </c>
      <c r="BG6" s="70"/>
      <c r="BH6" s="71"/>
      <c r="BK6" s="70"/>
      <c r="BL6" s="73" t="str">
        <f>IF(BH6="","",
   IF(March!BX6="",0,
      March!BX6))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"&amp;DOLLAR(AJ5*(SUM(April!Apr_Income)))&amp;". "
         &amp;IF(AJ5&gt;55%,"Its an excellent value!",
            IF(AJ5&gt;39%,"Its a great percentage!",
               IF(AJ5&gt;19%,"It´s a good value!",
                 "Increase your $ invested")))))</f>
        <v>Doing great, keep it up! 65% invested means $1.086,93. Its an excellent value!</v>
      </c>
      <c r="AC7" s="59"/>
      <c r="AD7" s="59"/>
      <c r="AE7" s="59"/>
      <c r="AF7" s="59"/>
      <c r="AG7" s="59"/>
      <c r="AH7" s="59"/>
      <c r="AI7" s="59"/>
      <c r="AJ7" s="59"/>
      <c r="AK7" s="59"/>
      <c r="AL7" s="59"/>
      <c r="AM7" s="59"/>
      <c r="AN7" s="59"/>
      <c r="AO7" s="5"/>
      <c r="AP7" s="1"/>
      <c r="AQ7" s="69"/>
      <c r="AW7" s="70"/>
      <c r="AX7" s="71"/>
      <c r="BA7" s="70"/>
      <c r="BB7" s="72" t="str">
        <f>IFERROR(IF(AX7="","",
   AX7*($AJ$5*SUM(April!Apr_Income))),
"")</f>
        <v/>
      </c>
      <c r="BG7" s="70"/>
      <c r="BH7" s="71"/>
      <c r="BK7" s="70"/>
      <c r="BL7" s="73" t="str">
        <f>IF(BH7="","",
   IF(March!BX7="",0,
      March!BX7))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AX8*($AJ$5*SUM(April!Apr_Income))),
"")</f>
        <v/>
      </c>
      <c r="BG8" s="70"/>
      <c r="BH8" s="71"/>
      <c r="BK8" s="70"/>
      <c r="BL8" s="73" t="str">
        <f>IF(BH8="","",
   IF(March!BX8="",0,
      March!BX8))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AX9*($AJ$5*SUM(April!Apr_Income))),
"")</f>
        <v/>
      </c>
      <c r="BG9" s="70"/>
      <c r="BH9" s="71"/>
      <c r="BK9" s="70"/>
      <c r="BL9" s="73" t="str">
        <f>IF(BH9="","",
   IF(March!BX9="",0,
      March!BX9))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AJ3+March!T11</f>
        <v>1200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SUM(April!Apr_Amo_Invested)-(V1*SUM(April!Apr_Income))</f>
        <v>1086.93285</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AQ16-March!AQ16</f>
        <v>18.04071649</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30.71286862</v>
      </c>
      <c r="AR16" s="24"/>
      <c r="AS16" s="24"/>
      <c r="AT16" s="24"/>
      <c r="AU16" s="24"/>
      <c r="AV16" s="24"/>
      <c r="AW16" s="25"/>
      <c r="AX16" s="1"/>
      <c r="AY16" s="102">
        <f>Database!J5</f>
        <v>0.02423650561</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SUM(April!Apr_Total_Invested)</f>
        <v>1902.807512</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(SUM(April!Apr_Income)-U25)-(AJ5*SUM(April!Apr_Income))-(AJ6*(SUM(April!Apr_Income)))-SUM(April!Apr_Happiness)-AJ3</f>
        <v>217.8849645</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BB4:BG4"/>
    <mergeCell ref="BB5:BG5"/>
    <mergeCell ref="BH4:BK4"/>
    <mergeCell ref="BH5:BK5"/>
    <mergeCell ref="BH8:BK8"/>
    <mergeCell ref="AQ8:AW8"/>
    <mergeCell ref="BL8:BQ8"/>
    <mergeCell ref="BL9:BQ9"/>
    <mergeCell ref="AQ9:AW9"/>
    <mergeCell ref="AQ13:AW13"/>
    <mergeCell ref="AQ12:AW12"/>
    <mergeCell ref="AQ6:AW6"/>
    <mergeCell ref="BH6:BK6"/>
    <mergeCell ref="BL6:BQ6"/>
    <mergeCell ref="BL7:BQ7"/>
    <mergeCell ref="AX3:BA3"/>
    <mergeCell ref="BB3:BG3"/>
    <mergeCell ref="AX2:BA2"/>
    <mergeCell ref="BB8:BG8"/>
    <mergeCell ref="AX8:BA8"/>
    <mergeCell ref="AX6:BA6"/>
    <mergeCell ref="BB6:BG6"/>
    <mergeCell ref="AX7:BA7"/>
    <mergeCell ref="BB7:BG7"/>
    <mergeCell ref="BB9:BG9"/>
    <mergeCell ref="BH9:BK9"/>
    <mergeCell ref="AQ18:AW18"/>
    <mergeCell ref="AQ15:AW15"/>
    <mergeCell ref="AQ16:AW16"/>
    <mergeCell ref="BL3:BQ3"/>
    <mergeCell ref="BL2:BQ2"/>
    <mergeCell ref="AY12:BE14"/>
    <mergeCell ref="AY15:BE15"/>
    <mergeCell ref="AQ21:AW21"/>
    <mergeCell ref="AQ22:AW22"/>
    <mergeCell ref="AQ19:AW19"/>
    <mergeCell ref="AQ2:AW2"/>
    <mergeCell ref="AQ7:AW7"/>
    <mergeCell ref="AX9:BA9"/>
    <mergeCell ref="BH7:BK7"/>
    <mergeCell ref="AY16:BE16"/>
    <mergeCell ref="AB18:AI18"/>
    <mergeCell ref="AB19:AI19"/>
    <mergeCell ref="AB13:AI13"/>
    <mergeCell ref="AB16:AI16"/>
    <mergeCell ref="AB15:AI15"/>
    <mergeCell ref="AB14:AI14"/>
    <mergeCell ref="AB20:AI20"/>
    <mergeCell ref="AB21:AO24"/>
    <mergeCell ref="AJ20:AO20"/>
    <mergeCell ref="AB17:AI17"/>
    <mergeCell ref="AJ17:AO17"/>
    <mergeCell ref="AJ18:AO18"/>
    <mergeCell ref="AJ19:AO19"/>
    <mergeCell ref="AJ16:AO16"/>
    <mergeCell ref="AJ15:AO15"/>
    <mergeCell ref="T20:Z20"/>
    <mergeCell ref="T21:Z21"/>
    <mergeCell ref="T16:Z16"/>
    <mergeCell ref="T17:Z17"/>
    <mergeCell ref="T18:Z18"/>
    <mergeCell ref="T19:Z19"/>
    <mergeCell ref="T22:Z22"/>
    <mergeCell ref="T15:Z15"/>
    <mergeCell ref="M23:S23"/>
    <mergeCell ref="M24:S24"/>
    <mergeCell ref="T24:Z24"/>
    <mergeCell ref="T23:Z23"/>
    <mergeCell ref="M18:S18"/>
    <mergeCell ref="M19:S19"/>
    <mergeCell ref="M16:S16"/>
    <mergeCell ref="M17:S17"/>
    <mergeCell ref="M20:S20"/>
    <mergeCell ref="M21:S21"/>
    <mergeCell ref="M22:S22"/>
    <mergeCell ref="M14:S14"/>
    <mergeCell ref="M13:S13"/>
    <mergeCell ref="M11:S11"/>
    <mergeCell ref="M12:S12"/>
    <mergeCell ref="M10:S10"/>
    <mergeCell ref="M15:S15"/>
    <mergeCell ref="M8:S8"/>
    <mergeCell ref="M9:S9"/>
    <mergeCell ref="M7:S7"/>
    <mergeCell ref="M5:S5"/>
    <mergeCell ref="M4:S4"/>
    <mergeCell ref="M6:S6"/>
    <mergeCell ref="B3:K24"/>
    <mergeCell ref="M3:S3"/>
    <mergeCell ref="AQ4:AW4"/>
    <mergeCell ref="AX4:BA4"/>
    <mergeCell ref="T4:Z4"/>
    <mergeCell ref="BR4:BW4"/>
    <mergeCell ref="AQ5:AW5"/>
    <mergeCell ref="AX5:BA5"/>
    <mergeCell ref="AB6:AI6"/>
    <mergeCell ref="AJ6:AO6"/>
    <mergeCell ref="AB5:AI5"/>
    <mergeCell ref="AJ5:AO5"/>
    <mergeCell ref="BR5:BW5"/>
    <mergeCell ref="BR6:BW6"/>
    <mergeCell ref="AJ13:AO13"/>
    <mergeCell ref="AJ14:AO14"/>
    <mergeCell ref="AB12:AI12"/>
    <mergeCell ref="AJ12:AO12"/>
    <mergeCell ref="AB7:AO10"/>
    <mergeCell ref="M2:S2"/>
    <mergeCell ref="AB2:AI2"/>
    <mergeCell ref="T2:Z2"/>
    <mergeCell ref="T8:Z8"/>
    <mergeCell ref="T11:Z11"/>
    <mergeCell ref="T12:Z12"/>
    <mergeCell ref="T9:Z9"/>
    <mergeCell ref="T10:Z10"/>
    <mergeCell ref="T14:Z14"/>
    <mergeCell ref="T13:Z13"/>
    <mergeCell ref="T5:Z5"/>
    <mergeCell ref="T6:Z6"/>
    <mergeCell ref="T7:Z7"/>
    <mergeCell ref="AB3:AI3"/>
    <mergeCell ref="AQ3:AW3"/>
    <mergeCell ref="AJ3:AO3"/>
    <mergeCell ref="BX6:CB6"/>
    <mergeCell ref="BX7:CB7"/>
    <mergeCell ref="BR7:BW7"/>
    <mergeCell ref="BR8:BW8"/>
    <mergeCell ref="BR9:BW9"/>
    <mergeCell ref="BH3:BK3"/>
    <mergeCell ref="T3:Z3"/>
    <mergeCell ref="BB2:BG2"/>
    <mergeCell ref="BH2:BK2"/>
    <mergeCell ref="BR3:BW3"/>
    <mergeCell ref="BX3:CB3"/>
    <mergeCell ref="BR2:BW2"/>
    <mergeCell ref="BX2:CB2"/>
    <mergeCell ref="B2:K2"/>
    <mergeCell ref="AQ10:CB10"/>
    <mergeCell ref="BX9:CB9"/>
    <mergeCell ref="BX4:CB4"/>
    <mergeCell ref="BX5:CB5"/>
    <mergeCell ref="BX8:CB8"/>
    <mergeCell ref="BL4:BQ4"/>
    <mergeCell ref="BL5:BQ5"/>
  </mergeCells>
  <printOptions/>
  <pageMargins bottom="0.75" footer="0.0" header="0.0" left="0.7" right="0.7" top="0.75"/>
  <pageSetup paperSize="9"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IF((SUM(May!May_Income)-V25)-(AJ5*SUM(May!May_Income))-(AJ6*(SUM(May!May_Income)))-SUM(May!May_Happiness)&lt;70,
   "Mate, slow down on the parties ok? You're going broke like that. Less fun budget for you. ",
      "Hey, with this planning you pay all your bills, invests and still have something left for your happy things. This is perfect! You'll still have "
&amp;DOLLAR(SUM(May!May_Income)-V25-(AJ5*SUM(May!May_Income))-(AJ6*(SUM(May!May_Income)))-SUM(May!May_Happiness)-AJ3)
         &amp;" left to buy whatever guilty pleasure you feel like. "
&amp;
IFERROR(ROUND((1-(AJ5+AJ6+(V25/SUM(May!May_Income))))*100,2)
   &amp;"% of your money is left after investing and liabilities, or "
   &amp;DOLLAR((SUM(May!May_Income)-V25)-(AJ5*SUM(May!May_Income))-(AJ6*(SUM(May!May_Income))))
   &amp;". "
   &amp;IF(AND(AK2=TRUE,T11&gt;May!May_Liabilities*12),"You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&amp;DOLLAR(SUM(May!May_Income)-V25)
      &amp;IF(T11&gt;SUM(May!May_Liabilities)*4," and excelent savings, good job",
         IF(T11&gt;SUM(May!May_Liabilities)*2," and ok savings, try saving more",
            IF(AK2=FALSE," but with terrible savings. Make it a priority! Save at least 4 times your expenses",""))),
""))</f>
        <v>Hey, with this planning you pay all your bills, invests and still have something left for your happy things. This is perfect! You'll still have $252,18 left to buy whatever guilty pleasure you feel like. 23% of your money is left after investing and liabilities, or $402,18. If you can manage it's ok. You'll start the month with $1.748,60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AX3*($AJ$5*SUM(May!May_Income))),
"")</f>
        <v>454.6354366</v>
      </c>
      <c r="BG3" s="70"/>
      <c r="BH3" s="71">
        <v>0.02</v>
      </c>
      <c r="BK3" s="70"/>
      <c r="BL3" s="73">
        <f>IF(BH3="","",
   IF(April!BX3="",0,
      April!BX3))</f>
        <v>765.4865223</v>
      </c>
      <c r="BQ3" s="70"/>
      <c r="BR3" s="72">
        <f t="shared" ref="BR3:BR9" si="1">IFERROR(
   IF(BB3="","",
      (BB3+BL3)*BH3)
,"")</f>
        <v>24.40243918</v>
      </c>
      <c r="BW3" s="70"/>
      <c r="BX3" s="74">
        <f t="shared" ref="BX3:BX9" si="2">IFERROR(
   IF(BH3="","",
      ((BB3+BL3)+(BB3+BL3)*BH3)),
"")</f>
        <v>1244.524398</v>
      </c>
      <c r="CB3" s="75"/>
      <c r="CC3" s="1"/>
    </row>
    <row r="4" ht="14.25" customHeight="1">
      <c r="A4" s="1"/>
      <c r="B4" s="76"/>
      <c r="K4" s="77"/>
      <c r="L4" s="1"/>
      <c r="M4" s="64" t="s">
        <v>4</v>
      </c>
      <c r="N4" s="65"/>
      <c r="O4" s="65"/>
      <c r="P4" s="65"/>
      <c r="Q4" s="65"/>
      <c r="R4" s="65"/>
      <c r="S4" s="65"/>
      <c r="T4" s="66">
        <f>April!AQ22</f>
        <v>217.8849645</v>
      </c>
      <c r="Z4" s="67"/>
      <c r="AA4" s="1"/>
      <c r="AB4" s="1"/>
      <c r="AC4" s="1"/>
      <c r="AD4" s="1"/>
      <c r="AE4" s="1"/>
      <c r="AF4" s="1"/>
      <c r="AG4" s="1"/>
      <c r="AH4" s="1"/>
      <c r="AI4" s="1"/>
      <c r="AJ4" s="1"/>
      <c r="AK4" s="1"/>
      <c r="AL4" s="1"/>
      <c r="AM4" s="1"/>
      <c r="AN4" s="1"/>
      <c r="AO4" s="1"/>
      <c r="AP4" s="1"/>
      <c r="AQ4" s="69" t="s">
        <v>41</v>
      </c>
      <c r="AW4" s="70"/>
      <c r="AX4" s="71">
        <v>0.3</v>
      </c>
      <c r="BA4" s="70"/>
      <c r="BB4" s="72">
        <f>IFERROR(IF(AX4="","",
   AX4*($AJ$5*SUM(May!May_Income))),
"")</f>
        <v>340.9765775</v>
      </c>
      <c r="BG4" s="70"/>
      <c r="BH4" s="71">
        <v>0.015</v>
      </c>
      <c r="BK4" s="70"/>
      <c r="BL4" s="73">
        <f>IF(BH4="","",
   IF(April!BX4="",0,
      April!BX4))</f>
        <v>569.5669311</v>
      </c>
      <c r="BQ4" s="70"/>
      <c r="BR4" s="72">
        <f t="shared" si="1"/>
        <v>13.65815263</v>
      </c>
      <c r="BW4" s="70"/>
      <c r="BX4" s="74">
        <f t="shared" si="2"/>
        <v>924.2016612</v>
      </c>
      <c r="CB4" s="75"/>
      <c r="CC4" s="1"/>
    </row>
    <row r="5" ht="15.0" customHeight="1">
      <c r="A5" s="1"/>
      <c r="B5" s="76"/>
      <c r="K5" s="77"/>
      <c r="L5" s="1"/>
      <c r="M5" s="64" t="s">
        <v>8</v>
      </c>
      <c r="N5" s="65"/>
      <c r="O5" s="65"/>
      <c r="P5" s="65"/>
      <c r="Q5" s="65"/>
      <c r="R5" s="65"/>
      <c r="S5" s="65"/>
      <c r="T5" s="66">
        <f>April!AQ16</f>
        <v>30.71286862</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AX5*($AJ$5*SUM(May!May_Income))),
"")</f>
        <v>340.9765775</v>
      </c>
      <c r="BG5" s="70"/>
      <c r="BH5" s="71">
        <v>0.013</v>
      </c>
      <c r="BK5" s="70"/>
      <c r="BL5" s="73">
        <f>IF(BH5="","",
   IF(April!BX5="",0,
      April!BX5))</f>
        <v>567.754059</v>
      </c>
      <c r="BQ5" s="70"/>
      <c r="BR5" s="72">
        <f t="shared" si="1"/>
        <v>11.81349827</v>
      </c>
      <c r="BW5" s="70"/>
      <c r="BX5" s="74">
        <f t="shared" si="2"/>
        <v>920.5441348</v>
      </c>
      <c r="CB5" s="75"/>
      <c r="CC5" s="1"/>
    </row>
    <row r="6" ht="15.0" customHeight="1">
      <c r="A6" s="1"/>
      <c r="B6" s="76"/>
      <c r="K6" s="77"/>
      <c r="L6" s="1"/>
      <c r="M6" s="64" t="s">
        <v>9</v>
      </c>
      <c r="N6" s="65"/>
      <c r="O6" s="65"/>
      <c r="P6" s="65"/>
      <c r="Q6" s="65"/>
      <c r="R6" s="65"/>
      <c r="S6" s="65"/>
      <c r="T6" s="66"/>
      <c r="Z6" s="67"/>
      <c r="AA6" s="1"/>
      <c r="AB6" s="69" t="s">
        <v>27</v>
      </c>
      <c r="AI6" s="75"/>
      <c r="AJ6" s="71">
        <f>IF(IFERROR(ROUND(SUM(May!May_Liabilities)/SUM(May!May_Income),2),"")=0,"",
   ROUND(SUM(May!May_Liabilities)/SUM(May!May_Income),2))</f>
        <v>0.12</v>
      </c>
      <c r="AO6" s="75"/>
      <c r="AP6" s="1"/>
      <c r="AQ6" s="69"/>
      <c r="AW6" s="70"/>
      <c r="AX6" s="71"/>
      <c r="BA6" s="70"/>
      <c r="BB6" s="72" t="str">
        <f>IFERROR(IF(AX6="","",
   AX6*($AJ$5*SUM(May!May_Income))),
"")</f>
        <v/>
      </c>
      <c r="BG6" s="70"/>
      <c r="BH6" s="71"/>
      <c r="BK6" s="70"/>
      <c r="BL6" s="73" t="str">
        <f>IF(BH6="","",
   IF(April!BX6="",0,
      April!BX6))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"&amp;DOLLAR(AJ5*(SUM(May!May_Income)))&amp;". "
         &amp;IF(AJ5&gt;55%,"Its an excellent value!",
            IF(AJ5&gt;39%,"Its a great percentage!",
               IF(AJ5&gt;19%,"It´s a good value!",
                 "Increase your $ invested")))))</f>
        <v>Doing great, keep it up! 65% invested means $1.136,59. Its an excellent value!</v>
      </c>
      <c r="AC7" s="59"/>
      <c r="AD7" s="59"/>
      <c r="AE7" s="59"/>
      <c r="AF7" s="59"/>
      <c r="AG7" s="59"/>
      <c r="AH7" s="59"/>
      <c r="AI7" s="59"/>
      <c r="AJ7" s="59"/>
      <c r="AK7" s="59"/>
      <c r="AL7" s="59"/>
      <c r="AM7" s="59"/>
      <c r="AN7" s="59"/>
      <c r="AO7" s="5"/>
      <c r="AP7" s="1"/>
      <c r="AQ7" s="69"/>
      <c r="AW7" s="70"/>
      <c r="AX7" s="71"/>
      <c r="BA7" s="70"/>
      <c r="BB7" s="72" t="str">
        <f>IFERROR(IF(AX7="","",
   AX7*($AJ$5*SUM(May!May_Income))),
"")</f>
        <v/>
      </c>
      <c r="BG7" s="70"/>
      <c r="BH7" s="71"/>
      <c r="BK7" s="70"/>
      <c r="BL7" s="73" t="str">
        <f>IF(BH7="","",
   IF(April!BX7="",0,
      April!BX7))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AX8*($AJ$5*SUM(May!May_Income))),
"")</f>
        <v/>
      </c>
      <c r="BG8" s="70"/>
      <c r="BH8" s="71"/>
      <c r="BK8" s="70"/>
      <c r="BL8" s="73" t="str">
        <f>IF(BH8="","",
   IF(April!BX8="",0,
      April!BX8))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AX9*($AJ$5*SUM(May!May_Income))),
"")</f>
        <v/>
      </c>
      <c r="BG9" s="70"/>
      <c r="BH9" s="71"/>
      <c r="BK9" s="70"/>
      <c r="BL9" s="73" t="str">
        <f>IF(BH9="","",
   IF(April!BX9="",0,
      April!BX9))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AJ3+April!T11</f>
        <v>1300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SUM(May!May_Amo_Invested)-(V1*SUM(May!May_Income))</f>
        <v>1136.588592</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AQ16-April!AQ16</f>
        <v>19.16122146</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49.87409008</v>
      </c>
      <c r="AR16" s="24"/>
      <c r="AS16" s="24"/>
      <c r="AT16" s="24"/>
      <c r="AU16" s="24"/>
      <c r="AV16" s="24"/>
      <c r="AW16" s="25"/>
      <c r="AX16" s="1"/>
      <c r="AY16" s="102">
        <f>Database!J6</f>
        <v>0.01623882507</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SUM(May!May_Total_Invested)</f>
        <v>3089.270194</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(SUM(May!May_Income)-U25)-(AJ5*SUM(May!May_Income))-(AJ6*(SUM(May!May_Income)))-SUM(May!May_Happiness)-AJ3</f>
        <v>252.1775016</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M15:S15"/>
    <mergeCell ref="B3:K24"/>
    <mergeCell ref="M3:S3"/>
    <mergeCell ref="M2:S2"/>
    <mergeCell ref="B2:K2"/>
    <mergeCell ref="M18:S18"/>
    <mergeCell ref="M19:S19"/>
    <mergeCell ref="M16:S16"/>
    <mergeCell ref="M17:S17"/>
    <mergeCell ref="M14:S14"/>
    <mergeCell ref="M13:S13"/>
    <mergeCell ref="M12:S12"/>
    <mergeCell ref="M4:S4"/>
    <mergeCell ref="T4:Z4"/>
    <mergeCell ref="T2:Z2"/>
    <mergeCell ref="T3:Z3"/>
    <mergeCell ref="M11:S11"/>
    <mergeCell ref="T11:Z11"/>
    <mergeCell ref="T12:Z12"/>
    <mergeCell ref="T9:Z9"/>
    <mergeCell ref="T10:Z10"/>
    <mergeCell ref="T14:Z14"/>
    <mergeCell ref="T13:Z13"/>
    <mergeCell ref="T5:Z5"/>
    <mergeCell ref="T6:Z6"/>
    <mergeCell ref="M10:S10"/>
    <mergeCell ref="M8:S8"/>
    <mergeCell ref="M9:S9"/>
    <mergeCell ref="M7:S7"/>
    <mergeCell ref="M5:S5"/>
    <mergeCell ref="M6:S6"/>
    <mergeCell ref="T8:Z8"/>
    <mergeCell ref="T7:Z7"/>
    <mergeCell ref="AB17:AI17"/>
    <mergeCell ref="AJ17:AO17"/>
    <mergeCell ref="T16:Z16"/>
    <mergeCell ref="T17:Z17"/>
    <mergeCell ref="T18:Z18"/>
    <mergeCell ref="T19:Z19"/>
    <mergeCell ref="T15:Z15"/>
    <mergeCell ref="AB18:AI18"/>
    <mergeCell ref="AB19:AI19"/>
    <mergeCell ref="AB13:AI13"/>
    <mergeCell ref="AB16:AI16"/>
    <mergeCell ref="AB15:AI15"/>
    <mergeCell ref="AB14:AI14"/>
    <mergeCell ref="AB21:AO24"/>
    <mergeCell ref="AJ18:AO18"/>
    <mergeCell ref="AJ19:AO19"/>
    <mergeCell ref="AQ18:AW18"/>
    <mergeCell ref="AQ21:AW21"/>
    <mergeCell ref="AQ22:AW22"/>
    <mergeCell ref="AQ19:AW19"/>
    <mergeCell ref="T24:Z24"/>
    <mergeCell ref="T23:Z23"/>
    <mergeCell ref="M20:S20"/>
    <mergeCell ref="M21:S21"/>
    <mergeCell ref="AB20:AI20"/>
    <mergeCell ref="AJ20:AO20"/>
    <mergeCell ref="T20:Z20"/>
    <mergeCell ref="T21:Z21"/>
    <mergeCell ref="T22:Z22"/>
    <mergeCell ref="M23:S23"/>
    <mergeCell ref="M24:S24"/>
    <mergeCell ref="M22:S22"/>
    <mergeCell ref="AX7:BA7"/>
    <mergeCell ref="BB7:BG7"/>
    <mergeCell ref="BH9:BK9"/>
    <mergeCell ref="AB6:AI6"/>
    <mergeCell ref="AJ6:AO6"/>
    <mergeCell ref="AB5:AI5"/>
    <mergeCell ref="AJ5:AO5"/>
    <mergeCell ref="AB7:AO10"/>
    <mergeCell ref="AJ13:AO13"/>
    <mergeCell ref="AJ14:AO14"/>
    <mergeCell ref="AB12:AI12"/>
    <mergeCell ref="AY12:BE14"/>
    <mergeCell ref="AY15:BE15"/>
    <mergeCell ref="AY16:BE16"/>
    <mergeCell ref="BL6:BQ6"/>
    <mergeCell ref="BL7:BQ7"/>
    <mergeCell ref="BR8:BW8"/>
    <mergeCell ref="BR9:BW9"/>
    <mergeCell ref="AQ6:AW6"/>
    <mergeCell ref="BH6:BK6"/>
    <mergeCell ref="AQ10:CB10"/>
    <mergeCell ref="BX9:CB9"/>
    <mergeCell ref="BX7:CB7"/>
    <mergeCell ref="BR6:BW6"/>
    <mergeCell ref="BR7:BW7"/>
    <mergeCell ref="AX3:BA3"/>
    <mergeCell ref="BB3:BG3"/>
    <mergeCell ref="AB2:AI2"/>
    <mergeCell ref="AB3:AI3"/>
    <mergeCell ref="AQ3:AW3"/>
    <mergeCell ref="AJ3:AO3"/>
    <mergeCell ref="BB2:BG2"/>
    <mergeCell ref="AQ2:AW2"/>
    <mergeCell ref="AQ4:AW4"/>
    <mergeCell ref="AQ5:AW5"/>
    <mergeCell ref="BX4:CB4"/>
    <mergeCell ref="BX5:CB5"/>
    <mergeCell ref="BL4:BQ4"/>
    <mergeCell ref="BL5:BQ5"/>
    <mergeCell ref="BR4:BW4"/>
    <mergeCell ref="BR5:BW5"/>
    <mergeCell ref="BL3:BQ3"/>
    <mergeCell ref="BH3:BK3"/>
    <mergeCell ref="BR3:BW3"/>
    <mergeCell ref="BX3:CB3"/>
    <mergeCell ref="BR2:BW2"/>
    <mergeCell ref="BX2:CB2"/>
    <mergeCell ref="AX2:BA2"/>
    <mergeCell ref="BL2:BQ2"/>
    <mergeCell ref="BH8:BK8"/>
    <mergeCell ref="AX4:BA4"/>
    <mergeCell ref="AX5:BA5"/>
    <mergeCell ref="BH2:BK2"/>
    <mergeCell ref="BX8:CB8"/>
    <mergeCell ref="BX6:CB6"/>
    <mergeCell ref="AQ16:AW16"/>
    <mergeCell ref="AQ13:AW13"/>
    <mergeCell ref="AJ16:AO16"/>
    <mergeCell ref="BB8:BG8"/>
    <mergeCell ref="AX6:BA6"/>
    <mergeCell ref="BB6:BG6"/>
    <mergeCell ref="BB9:BG9"/>
    <mergeCell ref="AX9:BA9"/>
    <mergeCell ref="AQ9:AW9"/>
    <mergeCell ref="AJ15:AO15"/>
    <mergeCell ref="AQ15:AW15"/>
    <mergeCell ref="AQ7:AW7"/>
    <mergeCell ref="BH7:BK7"/>
    <mergeCell ref="BB4:BG4"/>
    <mergeCell ref="BB5:BG5"/>
    <mergeCell ref="BH4:BK4"/>
    <mergeCell ref="BH5:BK5"/>
    <mergeCell ref="AX8:BA8"/>
    <mergeCell ref="AQ8:AW8"/>
    <mergeCell ref="BL8:BQ8"/>
    <mergeCell ref="BL9:BQ9"/>
    <mergeCell ref="AQ12:AW12"/>
    <mergeCell ref="AJ12:AO12"/>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IF((SUM(June!Jun_Income)-V25)-(AJ5*SUM(June!Jun_Income))-(AJ6*(SUM(June!Jun_Income)))-SUM(June!Jun_Happiness)&lt;70,
   "Mate, slow down on the parties ok? You're going broke like that. Less fun budget for you. ",
      "Hey, with this planning you pay all your bills, invests and still have something left for your happy things. This is perfect! You'll still have "
&amp;DOLLAR(SUM(June!Jun_Income)-V25-(AJ5*SUM(June!Jun_Income))-(AJ6*(SUM(June!Jun_Income)))-SUM(June!Jun_Happiness)-AJ3)
         &amp;" left to buy whatever guilty pleasure you feel like. "
&amp;
IFERROR(ROUND((1-(AJ5+AJ6+(V25/SUM(June!Jun_Income))))*100,2)
   &amp;"% of your money is left after investing and liabilities, or "
   &amp;DOLLAR((SUM(June!Jun_Income)-V25)-(AJ5*SUM(June!Jun_Income))-(AJ6*(SUM(June!Jun_Income))))
   &amp;". "
   &amp;IF(AND(AK2=TRUE,T11&gt;June!Jun_Liabilities*12),"You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&amp;DOLLAR(SUM(June!Jun_Income)-V25)
      &amp;IF(T11&gt;SUM(June!Jun_Liabilities)*4," and excelent savings, good job",
         IF(T11&gt;SUM(June!Jun_Liabilities)*2," and ok savings, try saving more",
            IF(AK2=FALSE," but with terrible savings. Make it a priority! Save at least 4 times your expenses",""))),
""))</f>
        <v>Hey, with this planning you pay all your bills, invests and still have something left for your happy things. This is perfect! You'll still have $264,47 left to buy whatever guilty pleasure you feel like. 23% of your money is left after investing and liabilities, or $414,47. If you can manage it's ok. You'll start the month with $1.802,05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AX3*($AJ$5*SUM(June!Jun_Income))),
"")</f>
        <v>468.5334138</v>
      </c>
      <c r="BG3" s="70"/>
      <c r="BH3" s="71">
        <v>0.02</v>
      </c>
      <c r="BK3" s="70"/>
      <c r="BL3" s="73">
        <f>IF(BH3="","",
   IF(May!BX3="",0,
      May!BX3))</f>
        <v>1244.524398</v>
      </c>
      <c r="BQ3" s="70"/>
      <c r="BR3" s="72">
        <f t="shared" ref="BR3:BR9" si="1">IFERROR(
   IF(BB3="","",
      (BB3+BL3)*BH3)
,"")</f>
        <v>34.26115624</v>
      </c>
      <c r="BW3" s="70"/>
      <c r="BX3" s="74">
        <f t="shared" ref="BX3:BX9" si="2">IFERROR(
   IF(BH3="","",
      ((BB3+BL3)+(BB3+BL3)*BH3)),
"")</f>
        <v>1747.318968</v>
      </c>
      <c r="CB3" s="75"/>
      <c r="CC3" s="1"/>
    </row>
    <row r="4" ht="14.25" customHeight="1">
      <c r="A4" s="1"/>
      <c r="B4" s="76"/>
      <c r="K4" s="77"/>
      <c r="L4" s="1"/>
      <c r="M4" s="64" t="s">
        <v>4</v>
      </c>
      <c r="N4" s="65"/>
      <c r="O4" s="65"/>
      <c r="P4" s="65"/>
      <c r="Q4" s="65"/>
      <c r="R4" s="65"/>
      <c r="S4" s="65"/>
      <c r="T4" s="66">
        <f>May!AQ22</f>
        <v>252.1775016</v>
      </c>
      <c r="Z4" s="67"/>
      <c r="AA4" s="1"/>
      <c r="AB4" s="1"/>
      <c r="AC4" s="1"/>
      <c r="AD4" s="1"/>
      <c r="AE4" s="1"/>
      <c r="AF4" s="1"/>
      <c r="AG4" s="1"/>
      <c r="AH4" s="1"/>
      <c r="AI4" s="1"/>
      <c r="AJ4" s="1"/>
      <c r="AK4" s="1"/>
      <c r="AL4" s="1"/>
      <c r="AM4" s="1"/>
      <c r="AN4" s="1"/>
      <c r="AO4" s="1"/>
      <c r="AP4" s="1"/>
      <c r="AQ4" s="69" t="s">
        <v>41</v>
      </c>
      <c r="AW4" s="70"/>
      <c r="AX4" s="71">
        <v>0.3</v>
      </c>
      <c r="BA4" s="70"/>
      <c r="BB4" s="72">
        <f>IFERROR(IF(AX4="","",
   AX4*($AJ$5*SUM(June!Jun_Income))),
"")</f>
        <v>351.4000604</v>
      </c>
      <c r="BG4" s="70"/>
      <c r="BH4" s="71">
        <v>0.015</v>
      </c>
      <c r="BK4" s="70"/>
      <c r="BL4" s="73">
        <f>IF(BH4="","",
   IF(May!BX4="",0,
      May!BX4))</f>
        <v>924.2016612</v>
      </c>
      <c r="BQ4" s="70"/>
      <c r="BR4" s="72">
        <f t="shared" si="1"/>
        <v>19.13402582</v>
      </c>
      <c r="BW4" s="70"/>
      <c r="BX4" s="74">
        <f t="shared" si="2"/>
        <v>1294.735747</v>
      </c>
      <c r="CB4" s="75"/>
      <c r="CC4" s="1"/>
    </row>
    <row r="5" ht="15.0" customHeight="1">
      <c r="A5" s="1"/>
      <c r="B5" s="76"/>
      <c r="K5" s="77"/>
      <c r="L5" s="1"/>
      <c r="M5" s="64" t="s">
        <v>8</v>
      </c>
      <c r="N5" s="65"/>
      <c r="O5" s="65"/>
      <c r="P5" s="65"/>
      <c r="Q5" s="65"/>
      <c r="R5" s="65"/>
      <c r="S5" s="65"/>
      <c r="T5" s="66">
        <f>May!AQ16</f>
        <v>49.87409008</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AX5*($AJ$5*SUM(June!Jun_Income))),
"")</f>
        <v>351.4000604</v>
      </c>
      <c r="BG5" s="70"/>
      <c r="BH5" s="71">
        <v>0.013</v>
      </c>
      <c r="BK5" s="70"/>
      <c r="BL5" s="73">
        <f>IF(BH5="","",
   IF(May!BX5="",0,
      May!BX5))</f>
        <v>920.5441348</v>
      </c>
      <c r="BQ5" s="70"/>
      <c r="BR5" s="72">
        <f t="shared" si="1"/>
        <v>16.53527454</v>
      </c>
      <c r="BW5" s="70"/>
      <c r="BX5" s="74">
        <f t="shared" si="2"/>
        <v>1288.47947</v>
      </c>
      <c r="CB5" s="75"/>
      <c r="CC5" s="1"/>
    </row>
    <row r="6" ht="15.0" customHeight="1">
      <c r="A6" s="1"/>
      <c r="B6" s="76"/>
      <c r="K6" s="77"/>
      <c r="L6" s="1"/>
      <c r="M6" s="64" t="s">
        <v>9</v>
      </c>
      <c r="N6" s="65"/>
      <c r="O6" s="65"/>
      <c r="P6" s="65"/>
      <c r="Q6" s="65"/>
      <c r="R6" s="65"/>
      <c r="S6" s="65"/>
      <c r="T6" s="66"/>
      <c r="Z6" s="67"/>
      <c r="AA6" s="1"/>
      <c r="AB6" s="69" t="s">
        <v>27</v>
      </c>
      <c r="AI6" s="75"/>
      <c r="AJ6" s="71">
        <f>IF(IFERROR(ROUND(SUM(June!Jun_Liabilities)/SUM(June!Jun_Income),2),"")=0,"",
   ROUND(SUM(June!Jun_Liabilities)/SUM(June!Jun_Income),2))</f>
        <v>0.12</v>
      </c>
      <c r="AO6" s="75"/>
      <c r="AP6" s="1"/>
      <c r="AQ6" s="69"/>
      <c r="AW6" s="70"/>
      <c r="AX6" s="71"/>
      <c r="BA6" s="70"/>
      <c r="BB6" s="72" t="str">
        <f>IFERROR(IF(AX6="","",
   AX6*($AJ$5*SUM(June!Jun_Income))),
"")</f>
        <v/>
      </c>
      <c r="BG6" s="70"/>
      <c r="BH6" s="71"/>
      <c r="BK6" s="70"/>
      <c r="BL6" s="73" t="str">
        <f>IF(BH6="","",
   IF(May!BX6="",0,
      May!BX6))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"&amp;DOLLAR(AJ5*(SUM(June!Jun_Income)))&amp;". "
         &amp;IF(AJ5&gt;55%,"Its an excellent value!",
            IF(AJ5&gt;39%,"Its a great percentage!",
               IF(AJ5&gt;19%,"It´s a good value!",
                 "Increase your $ invested")))))</f>
        <v>Doing great, keep it up! 65% invested means $1.171,33. Its an excellent value!</v>
      </c>
      <c r="AC7" s="59"/>
      <c r="AD7" s="59"/>
      <c r="AE7" s="59"/>
      <c r="AF7" s="59"/>
      <c r="AG7" s="59"/>
      <c r="AH7" s="59"/>
      <c r="AI7" s="59"/>
      <c r="AJ7" s="59"/>
      <c r="AK7" s="59"/>
      <c r="AL7" s="59"/>
      <c r="AM7" s="59"/>
      <c r="AN7" s="59"/>
      <c r="AO7" s="5"/>
      <c r="AP7" s="1"/>
      <c r="AQ7" s="69"/>
      <c r="AW7" s="70"/>
      <c r="AX7" s="71"/>
      <c r="BA7" s="70"/>
      <c r="BB7" s="72" t="str">
        <f>IFERROR(IF(AX7="","",
   AX7*($AJ$5*SUM(June!Jun_Income))),
"")</f>
        <v/>
      </c>
      <c r="BG7" s="70"/>
      <c r="BH7" s="71"/>
      <c r="BK7" s="70"/>
      <c r="BL7" s="73" t="str">
        <f>IF(BH7="","",
   IF(May!BX7="",0,
      May!BX7))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AX8*($AJ$5*SUM(June!Jun_Income))),
"")</f>
        <v/>
      </c>
      <c r="BG8" s="70"/>
      <c r="BH8" s="71"/>
      <c r="BK8" s="70"/>
      <c r="BL8" s="73" t="str">
        <f>IF(BH8="","",
   IF(May!BX8="",0,
      May!BX8))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AX9*($AJ$5*SUM(June!Jun_Income))),
"")</f>
        <v/>
      </c>
      <c r="BG9" s="70"/>
      <c r="BH9" s="71"/>
      <c r="BK9" s="70"/>
      <c r="BL9" s="73" t="str">
        <f>IF(BH9="","",
   IF(May!BX9="",0,
      May!BX9))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AJ3+May!T11</f>
        <v>1400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SUM(June!Jun_Amo_Invested)-(V1*SUM(June!Jun_Income))</f>
        <v>1171.333535</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AQ16-May!AQ16</f>
        <v>20.05636652</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69.9304566</v>
      </c>
      <c r="AR16" s="24"/>
      <c r="AS16" s="24"/>
      <c r="AT16" s="24"/>
      <c r="AU16" s="24"/>
      <c r="AV16" s="24"/>
      <c r="AW16" s="25"/>
      <c r="AX16" s="1"/>
      <c r="AY16" s="102">
        <f>Database!J7</f>
        <v>0.01402139999</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SUM(June!Jun_Total_Invested)</f>
        <v>4330.534185</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(SUM(June!Jun_Income)-U25)-(AJ5*SUM(June!Jun_Income))-(AJ6*(SUM(June!Jun_Income)))-SUM(June!Jun_Happiness)-AJ3</f>
        <v>264.4718661</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BX8:CB8"/>
    <mergeCell ref="BL7:BQ7"/>
    <mergeCell ref="BL8:BQ8"/>
    <mergeCell ref="BL9:BQ9"/>
    <mergeCell ref="BR7:BW7"/>
    <mergeCell ref="BR8:BW8"/>
    <mergeCell ref="BR9:BW9"/>
    <mergeCell ref="BB8:BG8"/>
    <mergeCell ref="BB9:BG9"/>
    <mergeCell ref="AX9:BA9"/>
    <mergeCell ref="AQ9:AW9"/>
    <mergeCell ref="AQ10:CB10"/>
    <mergeCell ref="BX9:CB9"/>
    <mergeCell ref="AX7:BA7"/>
    <mergeCell ref="BB7:BG7"/>
    <mergeCell ref="BX7:CB7"/>
    <mergeCell ref="BH9:BK9"/>
    <mergeCell ref="BH8:BK8"/>
    <mergeCell ref="T9:Z9"/>
    <mergeCell ref="T8:Z8"/>
    <mergeCell ref="T7:Z7"/>
    <mergeCell ref="AQ7:AW7"/>
    <mergeCell ref="BH7:BK7"/>
    <mergeCell ref="AX8:BA8"/>
    <mergeCell ref="AQ8:AW8"/>
    <mergeCell ref="AB17:AI17"/>
    <mergeCell ref="AJ17:AO17"/>
    <mergeCell ref="T16:Z16"/>
    <mergeCell ref="T17:Z17"/>
    <mergeCell ref="AQ13:AW13"/>
    <mergeCell ref="AB13:AI13"/>
    <mergeCell ref="AJ13:AO13"/>
    <mergeCell ref="AY12:BE14"/>
    <mergeCell ref="AB16:AI16"/>
    <mergeCell ref="AB15:AI15"/>
    <mergeCell ref="AY15:BE15"/>
    <mergeCell ref="AY16:BE16"/>
    <mergeCell ref="AB14:AI14"/>
    <mergeCell ref="AJ14:AO14"/>
    <mergeCell ref="M16:S16"/>
    <mergeCell ref="M17:S17"/>
    <mergeCell ref="AQ15:AW15"/>
    <mergeCell ref="AQ16:AW16"/>
    <mergeCell ref="AQ12:AW12"/>
    <mergeCell ref="AJ12:AO12"/>
    <mergeCell ref="T15:Z15"/>
    <mergeCell ref="AB12:AI12"/>
    <mergeCell ref="T24:Z24"/>
    <mergeCell ref="T23:Z23"/>
    <mergeCell ref="AB20:AI20"/>
    <mergeCell ref="AJ20:AO20"/>
    <mergeCell ref="T20:Z20"/>
    <mergeCell ref="T21:Z21"/>
    <mergeCell ref="T18:Z18"/>
    <mergeCell ref="T19:Z19"/>
    <mergeCell ref="AB18:AI18"/>
    <mergeCell ref="AB19:AI19"/>
    <mergeCell ref="AB21:AO24"/>
    <mergeCell ref="AJ18:AO18"/>
    <mergeCell ref="AJ19:AO19"/>
    <mergeCell ref="T22:Z22"/>
    <mergeCell ref="M11:S11"/>
    <mergeCell ref="M8:S8"/>
    <mergeCell ref="M24:S24"/>
    <mergeCell ref="M22:S22"/>
    <mergeCell ref="M15:S15"/>
    <mergeCell ref="B3:K24"/>
    <mergeCell ref="M2:S2"/>
    <mergeCell ref="B2:K2"/>
    <mergeCell ref="M18:S18"/>
    <mergeCell ref="M12:S12"/>
    <mergeCell ref="M7:S7"/>
    <mergeCell ref="M5:S5"/>
    <mergeCell ref="AB5:AI5"/>
    <mergeCell ref="AB3:AI3"/>
    <mergeCell ref="BB6:BG6"/>
    <mergeCell ref="BH6:BK6"/>
    <mergeCell ref="BX6:CB6"/>
    <mergeCell ref="BL6:BQ6"/>
    <mergeCell ref="BR6:BW6"/>
    <mergeCell ref="AX6:BA6"/>
    <mergeCell ref="AX3:BA3"/>
    <mergeCell ref="BB3:BG3"/>
    <mergeCell ref="BB2:BG2"/>
    <mergeCell ref="AX2:BA2"/>
    <mergeCell ref="AX4:BA4"/>
    <mergeCell ref="AX5:BA5"/>
    <mergeCell ref="AQ3:AW3"/>
    <mergeCell ref="AJ3:AO3"/>
    <mergeCell ref="AQ2:AW2"/>
    <mergeCell ref="AQ4:AW4"/>
    <mergeCell ref="AQ5:AW5"/>
    <mergeCell ref="BB4:BG4"/>
    <mergeCell ref="BB5:BG5"/>
    <mergeCell ref="BH4:BK4"/>
    <mergeCell ref="BH5:BK5"/>
    <mergeCell ref="AJ6:AO6"/>
    <mergeCell ref="AJ5:AO5"/>
    <mergeCell ref="AQ6:AW6"/>
    <mergeCell ref="BL3:BQ3"/>
    <mergeCell ref="BR3:BW3"/>
    <mergeCell ref="BR2:BW2"/>
    <mergeCell ref="BX2:CB2"/>
    <mergeCell ref="BL2:BQ2"/>
    <mergeCell ref="BH2:BK2"/>
    <mergeCell ref="BX4:CB4"/>
    <mergeCell ref="BX5:CB5"/>
    <mergeCell ref="BH3:BK3"/>
    <mergeCell ref="BX3:CB3"/>
    <mergeCell ref="BL4:BQ4"/>
    <mergeCell ref="BL5:BQ5"/>
    <mergeCell ref="BR4:BW4"/>
    <mergeCell ref="BR5:BW5"/>
    <mergeCell ref="T10:Z10"/>
    <mergeCell ref="M10:S10"/>
    <mergeCell ref="AB7:AO10"/>
    <mergeCell ref="M3:S3"/>
    <mergeCell ref="M4:S4"/>
    <mergeCell ref="T4:Z4"/>
    <mergeCell ref="T2:Z2"/>
    <mergeCell ref="T3:Z3"/>
    <mergeCell ref="T5:Z5"/>
    <mergeCell ref="T6:Z6"/>
    <mergeCell ref="AB2:AI2"/>
    <mergeCell ref="AJ15:AO15"/>
    <mergeCell ref="AJ16:AO16"/>
    <mergeCell ref="AQ18:AW18"/>
    <mergeCell ref="AQ21:AW21"/>
    <mergeCell ref="AQ22:AW22"/>
    <mergeCell ref="AQ19:AW19"/>
    <mergeCell ref="M14:S14"/>
    <mergeCell ref="M13:S13"/>
    <mergeCell ref="T11:Z11"/>
    <mergeCell ref="T12:Z12"/>
    <mergeCell ref="T14:Z14"/>
    <mergeCell ref="T13:Z13"/>
    <mergeCell ref="M9:S9"/>
    <mergeCell ref="M19:S19"/>
    <mergeCell ref="M20:S20"/>
    <mergeCell ref="M21:S21"/>
    <mergeCell ref="M23:S23"/>
    <mergeCell ref="M6:S6"/>
    <mergeCell ref="AB6:AI6"/>
  </mergeCells>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IF((SUM(July!Jul_Income)-V25)-(AJ5*SUM(July!Jul_Income))-(AJ6*(SUM(July!Jul_Income)))-SUM(July!Jul_Happiness)&lt;70,
   "Mate, slow down on the parties ok? You're going broke like that. Less fun budget for you. ",
      "Hey, with this planning you pay all your bills, invests and still have something left for your happy things. This is perfect! You'll still have "
&amp;DOLLAR(SUM(July!Jul_Income)-V25-(AJ5*SUM(July!Jul_Income))-(AJ6*(SUM(July!Jul_Income)))-SUM(July!Jul_Happiness)-AJ3)
         &amp;" left to buy whatever guilty pleasure you feel like. "
&amp;
IFERROR(ROUND((1-(AJ5+AJ6+(V25/SUM(July!Jul_Income))))*100,2)
   &amp;"% of your money is left after investing and liabilities, or "
   &amp;DOLLAR((SUM(July!Jul_Income)-V25)-(AJ5*SUM(July!Jul_Income))-(AJ6*(SUM(July!Jul_Income))))
   &amp;". "
   &amp;IF(AND(AK2=TRUE,T11&gt;July!Jul_Liabilities*12),"You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&amp;DOLLAR(SUM(July!Jul_Income)-V25)
      &amp;IF(T11&gt;SUM(July!Jul_Liabilities)*4," and excelent savings, good job",
         IF(T11&gt;SUM(July!Jul_Liabilities)*2," and ok savings, try saving more",
            IF(AK2=FALSE," but with terrible savings. Make it a priority! Save at least 4 times your expenses",""))),
""))</f>
        <v>Hey, with this planning you pay all your bills, invests and still have something left for your happy things. This is perfect! You'll still have $271,91 left to buy whatever guilty pleasure you feel like. 23% of your money is left after investing and liabilities, or $421,91. If you can manage it's ok. You'll start the month with $1.834,40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AX3*($AJ$5*SUM(July!Jul_Income))),
"")</f>
        <v>476.9446039</v>
      </c>
      <c r="BG3" s="70"/>
      <c r="BH3" s="71">
        <v>0.02</v>
      </c>
      <c r="BK3" s="70"/>
      <c r="BL3" s="73">
        <f>IF(BH3="","",
   IF(June!BX3="",0,
      June!BX3))</f>
        <v>1747.318968</v>
      </c>
      <c r="BQ3" s="70"/>
      <c r="BR3" s="72">
        <f t="shared" ref="BR3:BR9" si="1">IFERROR(
   IF(BB3="","",
      (BB3+BL3)*BH3)
,"")</f>
        <v>44.48527144</v>
      </c>
      <c r="BW3" s="70"/>
      <c r="BX3" s="74">
        <f t="shared" ref="BX3:BX9" si="2">IFERROR(
   IF(BH3="","",
      ((BB3+BL3)+(BB3+BL3)*BH3)),
"")</f>
        <v>2268.748844</v>
      </c>
      <c r="CB3" s="75"/>
      <c r="CC3" s="1"/>
    </row>
    <row r="4" ht="14.25" customHeight="1">
      <c r="A4" s="1"/>
      <c r="B4" s="76"/>
      <c r="K4" s="77"/>
      <c r="L4" s="1"/>
      <c r="M4" s="64" t="s">
        <v>4</v>
      </c>
      <c r="N4" s="65"/>
      <c r="O4" s="65"/>
      <c r="P4" s="65"/>
      <c r="Q4" s="65"/>
      <c r="R4" s="65"/>
      <c r="S4" s="65"/>
      <c r="T4" s="66">
        <f>June!AQ22</f>
        <v>264.4718661</v>
      </c>
      <c r="Z4" s="67"/>
      <c r="AA4" s="1"/>
      <c r="AB4" s="1"/>
      <c r="AC4" s="1"/>
      <c r="AD4" s="1"/>
      <c r="AE4" s="1"/>
      <c r="AF4" s="1"/>
      <c r="AG4" s="1"/>
      <c r="AH4" s="1"/>
      <c r="AI4" s="1"/>
      <c r="AJ4" s="1"/>
      <c r="AK4" s="1"/>
      <c r="AL4" s="1"/>
      <c r="AM4" s="1"/>
      <c r="AN4" s="1"/>
      <c r="AO4" s="1"/>
      <c r="AP4" s="1"/>
      <c r="AQ4" s="69" t="s">
        <v>41</v>
      </c>
      <c r="AW4" s="70"/>
      <c r="AX4" s="71">
        <v>0.3</v>
      </c>
      <c r="BA4" s="70"/>
      <c r="BB4" s="72">
        <f>IFERROR(IF(AX4="","",
   AX4*($AJ$5*SUM(July!Jul_Income))),
"")</f>
        <v>357.7084529</v>
      </c>
      <c r="BG4" s="70"/>
      <c r="BH4" s="71">
        <v>0.015</v>
      </c>
      <c r="BK4" s="70"/>
      <c r="BL4" s="73">
        <f>IF(BH4="","",
   IF(June!BX4="",0,
      June!BX4))</f>
        <v>1294.735747</v>
      </c>
      <c r="BQ4" s="70"/>
      <c r="BR4" s="72">
        <f t="shared" si="1"/>
        <v>24.786663</v>
      </c>
      <c r="BW4" s="70"/>
      <c r="BX4" s="74">
        <f t="shared" si="2"/>
        <v>1677.230863</v>
      </c>
      <c r="CB4" s="75"/>
      <c r="CC4" s="1"/>
    </row>
    <row r="5" ht="15.0" customHeight="1">
      <c r="A5" s="1"/>
      <c r="B5" s="76"/>
      <c r="K5" s="77"/>
      <c r="L5" s="1"/>
      <c r="M5" s="64" t="s">
        <v>8</v>
      </c>
      <c r="N5" s="65"/>
      <c r="O5" s="65"/>
      <c r="P5" s="65"/>
      <c r="Q5" s="65"/>
      <c r="R5" s="65"/>
      <c r="S5" s="65"/>
      <c r="T5" s="66">
        <f>June!AQ16</f>
        <v>69.9304566</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AX5*($AJ$5*SUM(July!Jul_Income))),
"")</f>
        <v>357.7084529</v>
      </c>
      <c r="BG5" s="70"/>
      <c r="BH5" s="71">
        <v>0.013</v>
      </c>
      <c r="BK5" s="70"/>
      <c r="BL5" s="73">
        <f>IF(BH5="","",
   IF(June!BX5="",0,
      June!BX5))</f>
        <v>1288.47947</v>
      </c>
      <c r="BQ5" s="70"/>
      <c r="BR5" s="72">
        <f t="shared" si="1"/>
        <v>21.40044299</v>
      </c>
      <c r="BW5" s="70"/>
      <c r="BX5" s="74">
        <f t="shared" si="2"/>
        <v>1667.588366</v>
      </c>
      <c r="CB5" s="75"/>
      <c r="CC5" s="1"/>
    </row>
    <row r="6" ht="15.0" customHeight="1">
      <c r="A6" s="1"/>
      <c r="B6" s="76"/>
      <c r="K6" s="77"/>
      <c r="L6" s="1"/>
      <c r="M6" s="64" t="s">
        <v>9</v>
      </c>
      <c r="N6" s="65"/>
      <c r="O6" s="65"/>
      <c r="P6" s="65"/>
      <c r="Q6" s="65"/>
      <c r="R6" s="65"/>
      <c r="S6" s="65"/>
      <c r="T6" s="66"/>
      <c r="Z6" s="67"/>
      <c r="AA6" s="1"/>
      <c r="AB6" s="69" t="s">
        <v>27</v>
      </c>
      <c r="AI6" s="75"/>
      <c r="AJ6" s="71">
        <f>IF(IFERROR(ROUND(SUM(July!Jul_Liabilities)/SUM(July!Jul_Income),2),"")=0,"",
   ROUND(SUM(July!Jul_Liabilities)/SUM(July!Jul_Income),2))</f>
        <v>0.12</v>
      </c>
      <c r="AO6" s="75"/>
      <c r="AP6" s="1"/>
      <c r="AQ6" s="69"/>
      <c r="AW6" s="70"/>
      <c r="AX6" s="71"/>
      <c r="BA6" s="70"/>
      <c r="BB6" s="72" t="str">
        <f>IFERROR(IF(AX6="","",
   AX6*($AJ$5*SUM(July!Jul_Income))),
"")</f>
        <v/>
      </c>
      <c r="BG6" s="70"/>
      <c r="BH6" s="71"/>
      <c r="BK6" s="70"/>
      <c r="BL6" s="73" t="str">
        <f>IF(BH6="","",
   IF(June!BX6="",0,
      June!BX6))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"&amp;DOLLAR(AJ5*(SUM(July!Jul_Income)))&amp;". "
         &amp;IF(AJ5&gt;55%,"Its an excellent value!",
            IF(AJ5&gt;39%,"Its a great percentage!",
               IF(AJ5&gt;19%,"It´s a good value!",
                 "Increase your $ invested")))))</f>
        <v>Doing great, keep it up! 65% invested means $1.192,36. Its an excellent value!</v>
      </c>
      <c r="AC7" s="59"/>
      <c r="AD7" s="59"/>
      <c r="AE7" s="59"/>
      <c r="AF7" s="59"/>
      <c r="AG7" s="59"/>
      <c r="AH7" s="59"/>
      <c r="AI7" s="59"/>
      <c r="AJ7" s="59"/>
      <c r="AK7" s="59"/>
      <c r="AL7" s="59"/>
      <c r="AM7" s="59"/>
      <c r="AN7" s="59"/>
      <c r="AO7" s="5"/>
      <c r="AP7" s="1"/>
      <c r="AQ7" s="69"/>
      <c r="AW7" s="70"/>
      <c r="AX7" s="71"/>
      <c r="BA7" s="70"/>
      <c r="BB7" s="72" t="str">
        <f>IFERROR(IF(AX7="","",
   AX7*($AJ$5*SUM(July!Jul_Income))),
"")</f>
        <v/>
      </c>
      <c r="BG7" s="70"/>
      <c r="BH7" s="71"/>
      <c r="BK7" s="70"/>
      <c r="BL7" s="73" t="str">
        <f>IF(BH7="","",
   IF(June!BX7="",0,
      June!BX7))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AX8*($AJ$5*SUM(July!Jul_Income))),
"")</f>
        <v/>
      </c>
      <c r="BG8" s="70"/>
      <c r="BH8" s="71"/>
      <c r="BK8" s="70"/>
      <c r="BL8" s="73" t="str">
        <f>IF(BH8="","",
   IF(June!BX8="",0,
      June!BX8))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AX9*($AJ$5*SUM(July!Jul_Income))),
"")</f>
        <v/>
      </c>
      <c r="BG9" s="70"/>
      <c r="BH9" s="71"/>
      <c r="BK9" s="70"/>
      <c r="BL9" s="73" t="str">
        <f>IF(BH9="","",
   IF(June!BX9="",0,
      June!BX9))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AJ3+June!T11</f>
        <v>1500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SUM(July!Jul_Amo_Invested)-(V1*SUM(July!Jul_Income))</f>
        <v>1192.36151</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AQ16-June!AQ16</f>
        <v>20.74192084</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90.67237744</v>
      </c>
      <c r="AR16" s="24"/>
      <c r="AS16" s="24"/>
      <c r="AT16" s="24"/>
      <c r="AU16" s="24"/>
      <c r="AV16" s="24"/>
      <c r="AW16" s="25"/>
      <c r="AX16" s="1"/>
      <c r="AY16" s="102">
        <f>Database!J8</f>
        <v>0.01296607828</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SUM(July!Jul_Total_Invested)</f>
        <v>5613.568072</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(SUM(July!Jul_Income)-U25)-(AJ5*SUM(July!Jul_Income))-(AJ6*(SUM(July!Jul_Income)))-SUM(July!Jul_Happiness)-AJ3</f>
        <v>271.9125342</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AX7:BA7"/>
    <mergeCell ref="BB7:BG7"/>
    <mergeCell ref="T7:Z7"/>
    <mergeCell ref="AQ7:AW7"/>
    <mergeCell ref="AJ6:AO6"/>
    <mergeCell ref="AQ6:AW6"/>
    <mergeCell ref="T6:Z6"/>
    <mergeCell ref="AB6:AI6"/>
    <mergeCell ref="BX7:CB7"/>
    <mergeCell ref="BX6:CB6"/>
    <mergeCell ref="BL6:BQ6"/>
    <mergeCell ref="BL7:BQ7"/>
    <mergeCell ref="BR6:BW6"/>
    <mergeCell ref="BR7:BW7"/>
    <mergeCell ref="BH8:BK8"/>
    <mergeCell ref="BH7:BK7"/>
    <mergeCell ref="BB6:BG6"/>
    <mergeCell ref="BH6:BK6"/>
    <mergeCell ref="AX6:BA6"/>
    <mergeCell ref="BX8:CB8"/>
    <mergeCell ref="BB8:BG8"/>
    <mergeCell ref="BB9:BG9"/>
    <mergeCell ref="BL8:BQ8"/>
    <mergeCell ref="BL9:BQ9"/>
    <mergeCell ref="BR8:BW8"/>
    <mergeCell ref="BR9:BW9"/>
    <mergeCell ref="AB13:AI13"/>
    <mergeCell ref="AJ13:AO13"/>
    <mergeCell ref="AY12:BE14"/>
    <mergeCell ref="AB14:AI14"/>
    <mergeCell ref="AJ14:AO14"/>
    <mergeCell ref="T14:Z14"/>
    <mergeCell ref="T9:Z9"/>
    <mergeCell ref="T10:Z10"/>
    <mergeCell ref="T11:Z11"/>
    <mergeCell ref="T12:Z12"/>
    <mergeCell ref="T13:Z13"/>
    <mergeCell ref="AQ9:AW9"/>
    <mergeCell ref="AQ10:CB10"/>
    <mergeCell ref="BX9:CB9"/>
    <mergeCell ref="BH9:BK9"/>
    <mergeCell ref="T8:Z8"/>
    <mergeCell ref="AQ8:AW8"/>
    <mergeCell ref="AB7:AO10"/>
    <mergeCell ref="AQ15:AW15"/>
    <mergeCell ref="AQ16:AW16"/>
    <mergeCell ref="AY15:BE15"/>
    <mergeCell ref="AY16:BE16"/>
    <mergeCell ref="AJ15:AO15"/>
    <mergeCell ref="AJ16:AO16"/>
    <mergeCell ref="AX9:BA9"/>
    <mergeCell ref="AB17:AI17"/>
    <mergeCell ref="AJ17:AO17"/>
    <mergeCell ref="T16:Z16"/>
    <mergeCell ref="T17:Z17"/>
    <mergeCell ref="AQ13:AW13"/>
    <mergeCell ref="AB12:AI12"/>
    <mergeCell ref="T15:Z15"/>
    <mergeCell ref="M15:S15"/>
    <mergeCell ref="M18:S18"/>
    <mergeCell ref="M19:S19"/>
    <mergeCell ref="M20:S20"/>
    <mergeCell ref="M21:S21"/>
    <mergeCell ref="AB16:AI16"/>
    <mergeCell ref="AB15:AI15"/>
    <mergeCell ref="M16:S16"/>
    <mergeCell ref="M17:S17"/>
    <mergeCell ref="T23:Z23"/>
    <mergeCell ref="T22:Z22"/>
    <mergeCell ref="M22:S22"/>
    <mergeCell ref="M23:S23"/>
    <mergeCell ref="AB3:AI3"/>
    <mergeCell ref="M3:S3"/>
    <mergeCell ref="T3:Z3"/>
    <mergeCell ref="AX8:BA8"/>
    <mergeCell ref="M8:S8"/>
    <mergeCell ref="BB2:BG2"/>
    <mergeCell ref="AX5:BA5"/>
    <mergeCell ref="AJ3:AO3"/>
    <mergeCell ref="AJ5:AO5"/>
    <mergeCell ref="T2:Z2"/>
    <mergeCell ref="BB3:BG3"/>
    <mergeCell ref="AQ3:AW3"/>
    <mergeCell ref="BL3:BQ3"/>
    <mergeCell ref="BR3:BW3"/>
    <mergeCell ref="BH3:BK3"/>
    <mergeCell ref="BX3:CB3"/>
    <mergeCell ref="AX2:BA2"/>
    <mergeCell ref="AQ2:AW2"/>
    <mergeCell ref="BR2:BW2"/>
    <mergeCell ref="BX2:CB2"/>
    <mergeCell ref="BL2:BQ2"/>
    <mergeCell ref="BH2:BK2"/>
    <mergeCell ref="AQ4:AW4"/>
    <mergeCell ref="AQ5:AW5"/>
    <mergeCell ref="M4:S4"/>
    <mergeCell ref="T4:Z4"/>
    <mergeCell ref="AB5:AI5"/>
    <mergeCell ref="T5:Z5"/>
    <mergeCell ref="BL4:BQ4"/>
    <mergeCell ref="BL5:BQ5"/>
    <mergeCell ref="BB4:BG4"/>
    <mergeCell ref="BB5:BG5"/>
    <mergeCell ref="BH4:BK4"/>
    <mergeCell ref="BH5:BK5"/>
    <mergeCell ref="BX4:CB4"/>
    <mergeCell ref="BX5:CB5"/>
    <mergeCell ref="BR4:BW4"/>
    <mergeCell ref="BR5:BW5"/>
    <mergeCell ref="M10:S10"/>
    <mergeCell ref="M14:S14"/>
    <mergeCell ref="M13:S13"/>
    <mergeCell ref="T24:Z24"/>
    <mergeCell ref="M24:S24"/>
    <mergeCell ref="B3:K24"/>
    <mergeCell ref="M2:S2"/>
    <mergeCell ref="B2:K2"/>
    <mergeCell ref="M7:S7"/>
    <mergeCell ref="M9:S9"/>
    <mergeCell ref="AQ12:AW12"/>
    <mergeCell ref="AJ12:AO12"/>
    <mergeCell ref="M11:S11"/>
    <mergeCell ref="M12:S12"/>
    <mergeCell ref="AB20:AI20"/>
    <mergeCell ref="AJ20:AO20"/>
    <mergeCell ref="AB21:AO24"/>
    <mergeCell ref="AQ21:AW21"/>
    <mergeCell ref="AQ22:AW22"/>
    <mergeCell ref="T20:Z20"/>
    <mergeCell ref="T21:Z21"/>
    <mergeCell ref="T18:Z18"/>
    <mergeCell ref="T19:Z19"/>
    <mergeCell ref="AB18:AI18"/>
    <mergeCell ref="AB19:AI19"/>
    <mergeCell ref="AJ18:AO18"/>
    <mergeCell ref="AJ19:AO19"/>
    <mergeCell ref="AQ18:AW18"/>
    <mergeCell ref="AQ19:AW19"/>
    <mergeCell ref="AX3:BA3"/>
    <mergeCell ref="AX4:BA4"/>
    <mergeCell ref="AB2:AI2"/>
    <mergeCell ref="M5:S5"/>
    <mergeCell ref="M6:S6"/>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IF((SUM(August!Aug_Income)-V25)-(AJ5*SUM(August!Aug_Income))-(AJ6*(SUM(August!Aug_Income)))-SUM(August!Aug_Happiness)&lt;70,
   "Mate, slow down on the parties ok? You're going broke like that. Less fun budget for you. ",
      "Hey, with this planning you pay all your bills, invests and still have something left for your happy things. This is perfect! You'll still have "
&amp;DOLLAR(SUM(August!Aug_Income)-V25-(AJ5*SUM(August!Aug_Income))-(AJ6*(SUM(August!Aug_Income)))-SUM(August!Aug_Happiness)-AJ3)
         &amp;" left to buy whatever guilty pleasure you feel like. "
&amp;
IFERROR(ROUND((1-(AJ5+AJ6+(V25/SUM(August!Aug_Income))))*100,2)
   &amp;"% of your money is left after investing and liabilities, or "
   &amp;DOLLAR((SUM(August!Aug_Income)-V25)-(AJ5*SUM(August!Aug_Income))-(AJ6*(SUM(August!Aug_Income))))
   &amp;". "
   &amp;IF(AND(AK2=TRUE,T11&gt;August!Aug_Liabilities*12),"You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&amp;DOLLAR(SUM(August!Aug_Income)-V25)
      &amp;IF(T11&gt;SUM(August!Aug_Liabilities)*4," and excelent savings, good job",
         IF(T11&gt;SUM(August!Aug_Liabilities)*2," and ok savings, try saving more",
            IF(AK2=FALSE," but with terrible savings. Make it a priority! Save at least 4 times your expenses",""))),
""))</f>
        <v>Hey, with this planning you pay all your bills, invests and still have something left for your happy things. This is perfect! You'll still have $297,02 left to buy whatever guilty pleasure you feel like. 24% of your money is left after investing and liabilities, or $447,02. If you can manage it's ok. You'll start the month with $1.862,58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AX3*($AJ$5*SUM(August!Aug_Income))),
"")</f>
        <v>484.272077</v>
      </c>
      <c r="BG3" s="70"/>
      <c r="BH3" s="71">
        <v>0.02</v>
      </c>
      <c r="BK3" s="70"/>
      <c r="BL3" s="73">
        <f>IF(BH3="","",
   IF(July!BX3="",0,
      July!BX3))</f>
        <v>2268.748844</v>
      </c>
      <c r="BQ3" s="70"/>
      <c r="BR3" s="72">
        <f t="shared" ref="BR3:BR9" si="1">IFERROR(
   IF(BB3="","",
      (BB3+BL3)*BH3)
,"")</f>
        <v>55.06041841</v>
      </c>
      <c r="BW3" s="70"/>
      <c r="BX3" s="74">
        <f t="shared" ref="BX3:BX9" si="2">IFERROR(
   IF(BH3="","",
      ((BB3+BL3)+(BB3+BL3)*BH3)),
"")</f>
        <v>2808.081339</v>
      </c>
      <c r="CB3" s="75"/>
      <c r="CC3" s="1"/>
    </row>
    <row r="4" ht="14.25" customHeight="1">
      <c r="A4" s="1"/>
      <c r="B4" s="76"/>
      <c r="K4" s="77"/>
      <c r="L4" s="1"/>
      <c r="M4" s="64" t="s">
        <v>4</v>
      </c>
      <c r="N4" s="65"/>
      <c r="O4" s="65"/>
      <c r="P4" s="65"/>
      <c r="Q4" s="65"/>
      <c r="R4" s="65"/>
      <c r="S4" s="65"/>
      <c r="T4" s="66">
        <f>July!AQ22</f>
        <v>271.9125342</v>
      </c>
      <c r="Z4" s="67"/>
      <c r="AA4" s="1"/>
      <c r="AB4" s="1"/>
      <c r="AC4" s="1"/>
      <c r="AD4" s="1"/>
      <c r="AE4" s="1"/>
      <c r="AF4" s="1"/>
      <c r="AG4" s="1"/>
      <c r="AH4" s="1"/>
      <c r="AI4" s="1"/>
      <c r="AJ4" s="1"/>
      <c r="AK4" s="1"/>
      <c r="AL4" s="1"/>
      <c r="AM4" s="1"/>
      <c r="AN4" s="1"/>
      <c r="AO4" s="1"/>
      <c r="AP4" s="1"/>
      <c r="AQ4" s="69" t="s">
        <v>41</v>
      </c>
      <c r="AW4" s="70"/>
      <c r="AX4" s="71">
        <v>0.3</v>
      </c>
      <c r="BA4" s="70"/>
      <c r="BB4" s="72">
        <f>IFERROR(IF(AX4="","",
   AX4*($AJ$5*SUM(August!Aug_Income))),
"")</f>
        <v>363.2040578</v>
      </c>
      <c r="BG4" s="70"/>
      <c r="BH4" s="71">
        <v>0.015</v>
      </c>
      <c r="BK4" s="70"/>
      <c r="BL4" s="73">
        <f>IF(BH4="","",
   IF(July!BX4="",0,
      July!BX4))</f>
        <v>1677.230863</v>
      </c>
      <c r="BQ4" s="70"/>
      <c r="BR4" s="72">
        <f t="shared" si="1"/>
        <v>30.60652382</v>
      </c>
      <c r="BW4" s="70"/>
      <c r="BX4" s="74">
        <f t="shared" si="2"/>
        <v>2071.041445</v>
      </c>
      <c r="CB4" s="75"/>
      <c r="CC4" s="1"/>
    </row>
    <row r="5" ht="15.0" customHeight="1">
      <c r="A5" s="1"/>
      <c r="B5" s="76"/>
      <c r="K5" s="77"/>
      <c r="L5" s="1"/>
      <c r="M5" s="64" t="s">
        <v>8</v>
      </c>
      <c r="N5" s="65"/>
      <c r="O5" s="65"/>
      <c r="P5" s="65"/>
      <c r="Q5" s="65"/>
      <c r="R5" s="65"/>
      <c r="S5" s="65"/>
      <c r="T5" s="66">
        <f>July!AQ16</f>
        <v>90.67237744</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AX5*($AJ$5*SUM(August!Aug_Income))),
"")</f>
        <v>363.2040578</v>
      </c>
      <c r="BG5" s="70"/>
      <c r="BH5" s="71">
        <v>0.013</v>
      </c>
      <c r="BK5" s="70"/>
      <c r="BL5" s="73">
        <f>IF(BH5="","",
   IF(July!BX5="",0,
      July!BX5))</f>
        <v>1667.588366</v>
      </c>
      <c r="BQ5" s="70"/>
      <c r="BR5" s="72">
        <f t="shared" si="1"/>
        <v>26.4003015</v>
      </c>
      <c r="BW5" s="70"/>
      <c r="BX5" s="74">
        <f t="shared" si="2"/>
        <v>2057.192725</v>
      </c>
      <c r="CB5" s="75"/>
      <c r="CC5" s="1"/>
    </row>
    <row r="6" ht="15.0" customHeight="1">
      <c r="A6" s="1"/>
      <c r="B6" s="76"/>
      <c r="K6" s="77"/>
      <c r="L6" s="1"/>
      <c r="M6" s="64" t="s">
        <v>9</v>
      </c>
      <c r="N6" s="65"/>
      <c r="O6" s="65"/>
      <c r="P6" s="65"/>
      <c r="Q6" s="65"/>
      <c r="R6" s="65"/>
      <c r="S6" s="65"/>
      <c r="T6" s="66"/>
      <c r="Z6" s="67"/>
      <c r="AA6" s="1"/>
      <c r="AB6" s="69" t="s">
        <v>27</v>
      </c>
      <c r="AI6" s="75"/>
      <c r="AJ6" s="71">
        <f>IF(IFERROR(ROUND(SUM(August!Aug_Liabilities)/SUM(August!Aug_Income),2),"")=0,"",
   ROUND(SUM(August!Aug_Liabilities)/SUM(August!Aug_Income),2))</f>
        <v>0.11</v>
      </c>
      <c r="AO6" s="75"/>
      <c r="AP6" s="1"/>
      <c r="AQ6" s="69"/>
      <c r="AW6" s="70"/>
      <c r="AX6" s="71"/>
      <c r="BA6" s="70"/>
      <c r="BB6" s="72" t="str">
        <f>IFERROR(IF(AX6="","",
   AX6*($AJ$5*SUM(August!Aug_Income))),
"")</f>
        <v/>
      </c>
      <c r="BG6" s="70"/>
      <c r="BH6" s="71"/>
      <c r="BK6" s="70"/>
      <c r="BL6" s="73" t="str">
        <f>IF(BH6="","",
   IF(July!BX6="",0,
      July!BX6))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"&amp;DOLLAR(AJ5*(SUM(August!Aug_Income)))&amp;". "
         &amp;IF(AJ5&gt;55%,"Its an excellent value!",
            IF(AJ5&gt;39%,"Its a great percentage!",
               IF(AJ5&gt;19%,"It´s a good value!",
                 "Increase your $ invested")))))</f>
        <v>Doing great, keep it up! 65% invested means $1.210,68. Its an excellent value!</v>
      </c>
      <c r="AC7" s="59"/>
      <c r="AD7" s="59"/>
      <c r="AE7" s="59"/>
      <c r="AF7" s="59"/>
      <c r="AG7" s="59"/>
      <c r="AH7" s="59"/>
      <c r="AI7" s="59"/>
      <c r="AJ7" s="59"/>
      <c r="AK7" s="59"/>
      <c r="AL7" s="59"/>
      <c r="AM7" s="59"/>
      <c r="AN7" s="59"/>
      <c r="AO7" s="5"/>
      <c r="AP7" s="1"/>
      <c r="AQ7" s="69"/>
      <c r="AW7" s="70"/>
      <c r="AX7" s="71"/>
      <c r="BA7" s="70"/>
      <c r="BB7" s="72" t="str">
        <f>IFERROR(IF(AX7="","",
   AX7*($AJ$5*SUM(August!Aug_Income))),
"")</f>
        <v/>
      </c>
      <c r="BG7" s="70"/>
      <c r="BH7" s="71"/>
      <c r="BK7" s="70"/>
      <c r="BL7" s="73" t="str">
        <f>IF(BH7="","",
   IF(July!BX7="",0,
      July!BX7))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AX8*($AJ$5*SUM(August!Aug_Income))),
"")</f>
        <v/>
      </c>
      <c r="BG8" s="70"/>
      <c r="BH8" s="71"/>
      <c r="BK8" s="70"/>
      <c r="BL8" s="73" t="str">
        <f>IF(BH8="","",
   IF(July!BX8="",0,
      July!BX8))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AX9*($AJ$5*SUM(August!Aug_Income))),
"")</f>
        <v/>
      </c>
      <c r="BG9" s="70"/>
      <c r="BH9" s="71"/>
      <c r="BK9" s="70"/>
      <c r="BL9" s="73" t="str">
        <f>IF(BH9="","",
   IF(July!BX9="",0,
      July!BX9))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AJ3+July!T11</f>
        <v>1600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SUM(August!Aug_Amo_Invested)-(V1*SUM(August!Aug_Income))</f>
        <v>1210.680193</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AQ16-July!AQ16</f>
        <v>21.39486629</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112.0672437</v>
      </c>
      <c r="AR16" s="24"/>
      <c r="AS16" s="24"/>
      <c r="AT16" s="24"/>
      <c r="AU16" s="24"/>
      <c r="AV16" s="24"/>
      <c r="AW16" s="25"/>
      <c r="AX16" s="1"/>
      <c r="AY16" s="102">
        <f>Database!J9</f>
        <v>0.01235957928</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SUM(August!Aug_Total_Invested)</f>
        <v>6936.315509</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(SUM(August!Aug_Income)-U25)-(AJ5*SUM(August!Aug_Income))-(AJ6*(SUM(August!Aug_Income)))-SUM(August!Aug_Happiness)-AJ3</f>
        <v>297.0203788</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M16:S16"/>
    <mergeCell ref="M17:S17"/>
    <mergeCell ref="T20:Z20"/>
    <mergeCell ref="T21:Z21"/>
    <mergeCell ref="T18:Z18"/>
    <mergeCell ref="T19:Z19"/>
    <mergeCell ref="T16:Z16"/>
    <mergeCell ref="T15:Z15"/>
    <mergeCell ref="M15:S15"/>
    <mergeCell ref="M18:S18"/>
    <mergeCell ref="M19:S19"/>
    <mergeCell ref="M20:S20"/>
    <mergeCell ref="M21:S21"/>
    <mergeCell ref="AX2:BA2"/>
    <mergeCell ref="AQ2:AW2"/>
    <mergeCell ref="BL2:BQ2"/>
    <mergeCell ref="BH2:BK2"/>
    <mergeCell ref="BH4:BK4"/>
    <mergeCell ref="BH5:BK5"/>
    <mergeCell ref="BB3:BG3"/>
    <mergeCell ref="BL3:BQ3"/>
    <mergeCell ref="BH3:BK3"/>
    <mergeCell ref="BB4:BG4"/>
    <mergeCell ref="BB5:BG5"/>
    <mergeCell ref="BL4:BQ4"/>
    <mergeCell ref="BL5:BQ5"/>
    <mergeCell ref="BL6:BQ6"/>
    <mergeCell ref="AX3:BA3"/>
    <mergeCell ref="AX4:BA4"/>
    <mergeCell ref="BB6:BG6"/>
    <mergeCell ref="BH6:BK6"/>
    <mergeCell ref="BB2:BG2"/>
    <mergeCell ref="AX5:BA5"/>
    <mergeCell ref="AJ3:AO3"/>
    <mergeCell ref="AJ5:AO5"/>
    <mergeCell ref="AQ3:AW3"/>
    <mergeCell ref="AX7:BA7"/>
    <mergeCell ref="T7:Z7"/>
    <mergeCell ref="AQ7:AW7"/>
    <mergeCell ref="AJ6:AO6"/>
    <mergeCell ref="AQ6:AW6"/>
    <mergeCell ref="T6:Z6"/>
    <mergeCell ref="AX6:BA6"/>
    <mergeCell ref="T10:Z10"/>
    <mergeCell ref="T11:Z11"/>
    <mergeCell ref="T2:Z2"/>
    <mergeCell ref="T5:Z5"/>
    <mergeCell ref="AB2:AI2"/>
    <mergeCell ref="T12:Z12"/>
    <mergeCell ref="T13:Z13"/>
    <mergeCell ref="AJ12:AO12"/>
    <mergeCell ref="BB9:BG9"/>
    <mergeCell ref="AQ9:AW9"/>
    <mergeCell ref="AQ10:CB10"/>
    <mergeCell ref="BX9:CB9"/>
    <mergeCell ref="BH9:BK9"/>
    <mergeCell ref="AX9:BA9"/>
    <mergeCell ref="BL9:BQ9"/>
    <mergeCell ref="BR9:BW9"/>
    <mergeCell ref="AQ8:AW8"/>
    <mergeCell ref="AX8:BA8"/>
    <mergeCell ref="AQ12:AW12"/>
    <mergeCell ref="BH8:BK8"/>
    <mergeCell ref="BH7:BK7"/>
    <mergeCell ref="BX8:CB8"/>
    <mergeCell ref="BB8:BG8"/>
    <mergeCell ref="BL7:BQ7"/>
    <mergeCell ref="BL8:BQ8"/>
    <mergeCell ref="BR7:BW7"/>
    <mergeCell ref="BR8:BW8"/>
    <mergeCell ref="BR3:BW3"/>
    <mergeCell ref="BX3:CB3"/>
    <mergeCell ref="BR2:BW2"/>
    <mergeCell ref="BX2:CB2"/>
    <mergeCell ref="BX4:CB4"/>
    <mergeCell ref="BX5:CB5"/>
    <mergeCell ref="BR4:BW4"/>
    <mergeCell ref="BR5:BW5"/>
    <mergeCell ref="BB7:BG7"/>
    <mergeCell ref="BX7:CB7"/>
    <mergeCell ref="BX6:CB6"/>
    <mergeCell ref="BR6:BW6"/>
    <mergeCell ref="M14:S14"/>
    <mergeCell ref="M13:S13"/>
    <mergeCell ref="AJ13:AO13"/>
    <mergeCell ref="AB14:AI14"/>
    <mergeCell ref="AJ14:AO14"/>
    <mergeCell ref="T14:Z14"/>
    <mergeCell ref="T9:Z9"/>
    <mergeCell ref="T8:Z8"/>
    <mergeCell ref="AQ13:AW13"/>
    <mergeCell ref="T3:Z3"/>
    <mergeCell ref="M2:S2"/>
    <mergeCell ref="M10:S10"/>
    <mergeCell ref="M9:S9"/>
    <mergeCell ref="M11:S11"/>
    <mergeCell ref="M12:S12"/>
    <mergeCell ref="M5:S5"/>
    <mergeCell ref="M6:S6"/>
    <mergeCell ref="AB7:AO10"/>
    <mergeCell ref="AB3:AI3"/>
    <mergeCell ref="M8:S8"/>
    <mergeCell ref="AQ4:AW4"/>
    <mergeCell ref="AQ5:AW5"/>
    <mergeCell ref="T4:Z4"/>
    <mergeCell ref="M7:S7"/>
    <mergeCell ref="AB18:AI18"/>
    <mergeCell ref="AB19:AI19"/>
    <mergeCell ref="AQ18:AW18"/>
    <mergeCell ref="AQ19:AW19"/>
    <mergeCell ref="AY12:BE14"/>
    <mergeCell ref="AY15:BE15"/>
    <mergeCell ref="AY16:BE16"/>
    <mergeCell ref="AB16:AI16"/>
    <mergeCell ref="AB15:AI15"/>
    <mergeCell ref="AB20:AI20"/>
    <mergeCell ref="AJ20:AO20"/>
    <mergeCell ref="AB21:AO24"/>
    <mergeCell ref="AQ21:AW21"/>
    <mergeCell ref="AQ22:AW22"/>
    <mergeCell ref="AB13:AI13"/>
    <mergeCell ref="AB12:AI12"/>
    <mergeCell ref="AQ15:AW15"/>
    <mergeCell ref="AQ16:AW16"/>
    <mergeCell ref="AJ15:AO15"/>
    <mergeCell ref="AJ16:AO16"/>
    <mergeCell ref="AB17:AI17"/>
    <mergeCell ref="AJ17:AO17"/>
    <mergeCell ref="T17:Z17"/>
    <mergeCell ref="T23:Z23"/>
    <mergeCell ref="T22:Z22"/>
    <mergeCell ref="T24:Z24"/>
    <mergeCell ref="M22:S22"/>
    <mergeCell ref="M23:S23"/>
    <mergeCell ref="M24:S24"/>
    <mergeCell ref="B3:K24"/>
    <mergeCell ref="B2:K2"/>
    <mergeCell ref="M3:S3"/>
    <mergeCell ref="M4:S4"/>
    <mergeCell ref="AB6:AI6"/>
    <mergeCell ref="AB5:AI5"/>
    <mergeCell ref="AJ18:AO18"/>
    <mergeCell ref="AJ19:AO19"/>
  </mergeCells>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IF((SUM(September!Sep_Income)-V25)-(AJ5*SUM(September!Sep_Income))-(AJ6*(SUM(September!Sep_Income)))-SUM(September!Sep_Happiness)&lt;70,
   "Mate, slow down on the parties ok? You're going broke like that. Less fun budget for you. ",
      "Hey, with this planning you pay all your bills, invests and still have something left for your happy things. This is perfect! You'll still have "
&amp;DOLLAR(SUM(September!Sep_Income)-V25-(AJ5*SUM(September!Sep_Income))-(AJ6*(SUM(September!Sep_Income)))-SUM(September!Sep_Happiness)-AJ3)
         &amp;" left to buy whatever guilty pleasure you feel like. "
&amp;
IFERROR(ROUND((1-(AJ5+AJ6+(V25/SUM(September!Sep_Income))))*100,2)
   &amp;"% of your money is left after investing and liabilities, or "
   &amp;DOLLAR((SUM(September!Sep_Income)-V25)-(AJ5*SUM(September!Sep_Income))-(AJ6*(SUM(September!Sep_Income))))
   &amp;". "
   &amp;IF(AND(AK2=TRUE,T11&gt;September!Sep_Liabilities*12),"You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&amp;DOLLAR(SUM(September!Sep_Income)-V25)
      &amp;IF(T11&gt;SUM(September!Sep_Liabilities)*4," and excelent savings, good job",
         IF(T11&gt;SUM(September!Sep_Liabilities)*2," and ok savings, try saving more",
            IF(AK2=FALSE," but with terrible savings. Make it a priority! Save at least 4 times your expenses",""))),
""))</f>
        <v>Hey, with this planning you pay all your bills, invests and still have something left for your happy things. This is perfect! You'll still have $308,18 left to buy whatever guilty pleasure you feel like. 24% of your money is left after investing and liabilities, or $458,18. If you can manage it's ok. You'll start the month with $1.909,09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AX3*($AJ$5*SUM(September!Sep_Income))),
"")</f>
        <v>496.3627819</v>
      </c>
      <c r="BG3" s="70"/>
      <c r="BH3" s="71">
        <v>0.02</v>
      </c>
      <c r="BK3" s="70"/>
      <c r="BL3" s="73">
        <f>IF(BH3="","",
   IF(August!BX3="",0,
      August!BX3))</f>
        <v>2808.081339</v>
      </c>
      <c r="BQ3" s="70"/>
      <c r="BR3" s="72">
        <f t="shared" ref="BR3:BR9" si="1">IFERROR(
   IF(BB3="","",
      (BB3+BL3)*BH3)
,"")</f>
        <v>66.08888242</v>
      </c>
      <c r="BW3" s="70"/>
      <c r="BX3" s="74">
        <f t="shared" ref="BX3:BX9" si="2">IFERROR(
   IF(BH3="","",
      ((BB3+BL3)+(BB3+BL3)*BH3)),
"")</f>
        <v>3370.533003</v>
      </c>
      <c r="CB3" s="75"/>
      <c r="CC3" s="1"/>
    </row>
    <row r="4" ht="14.25" customHeight="1">
      <c r="A4" s="1"/>
      <c r="B4" s="76"/>
      <c r="K4" s="77"/>
      <c r="L4" s="1"/>
      <c r="M4" s="64" t="s">
        <v>4</v>
      </c>
      <c r="N4" s="65"/>
      <c r="O4" s="65"/>
      <c r="P4" s="65"/>
      <c r="Q4" s="65"/>
      <c r="R4" s="65"/>
      <c r="S4" s="65"/>
      <c r="T4" s="66">
        <f>August!AQ22</f>
        <v>297.0203788</v>
      </c>
      <c r="Z4" s="67"/>
      <c r="AA4" s="1"/>
      <c r="AB4" s="1"/>
      <c r="AC4" s="1"/>
      <c r="AD4" s="1"/>
      <c r="AE4" s="1"/>
      <c r="AF4" s="1"/>
      <c r="AG4" s="1"/>
      <c r="AH4" s="1"/>
      <c r="AI4" s="1"/>
      <c r="AJ4" s="1"/>
      <c r="AK4" s="1"/>
      <c r="AL4" s="1"/>
      <c r="AM4" s="1"/>
      <c r="AN4" s="1"/>
      <c r="AO4" s="1"/>
      <c r="AP4" s="1"/>
      <c r="AQ4" s="69" t="s">
        <v>41</v>
      </c>
      <c r="AW4" s="70"/>
      <c r="AX4" s="71">
        <v>0.3</v>
      </c>
      <c r="BA4" s="70"/>
      <c r="BB4" s="72">
        <f>IFERROR(IF(AX4="","",
   AX4*($AJ$5*SUM(September!Sep_Income))),
"")</f>
        <v>372.2720864</v>
      </c>
      <c r="BG4" s="70"/>
      <c r="BH4" s="71">
        <v>0.015</v>
      </c>
      <c r="BK4" s="70"/>
      <c r="BL4" s="73">
        <f>IF(BH4="","",
   IF(August!BX4="",0,
      August!BX4))</f>
        <v>2071.041445</v>
      </c>
      <c r="BQ4" s="70"/>
      <c r="BR4" s="72">
        <f t="shared" si="1"/>
        <v>36.64970297</v>
      </c>
      <c r="BW4" s="70"/>
      <c r="BX4" s="74">
        <f t="shared" si="2"/>
        <v>2479.963234</v>
      </c>
      <c r="CB4" s="75"/>
      <c r="CC4" s="1"/>
    </row>
    <row r="5" ht="15.0" customHeight="1">
      <c r="A5" s="1"/>
      <c r="B5" s="76"/>
      <c r="K5" s="77"/>
      <c r="L5" s="1"/>
      <c r="M5" s="64" t="s">
        <v>8</v>
      </c>
      <c r="N5" s="65"/>
      <c r="O5" s="65"/>
      <c r="P5" s="65"/>
      <c r="Q5" s="65"/>
      <c r="R5" s="65"/>
      <c r="S5" s="65"/>
      <c r="T5" s="66">
        <f>August!AQ16</f>
        <v>112.0672437</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AX5*($AJ$5*SUM(September!Sep_Income))),
"")</f>
        <v>372.2720864</v>
      </c>
      <c r="BG5" s="70"/>
      <c r="BH5" s="71">
        <v>0.013</v>
      </c>
      <c r="BK5" s="70"/>
      <c r="BL5" s="73">
        <f>IF(BH5="","",
   IF(August!BX5="",0,
      August!BX5))</f>
        <v>2057.192725</v>
      </c>
      <c r="BQ5" s="70"/>
      <c r="BR5" s="72">
        <f t="shared" si="1"/>
        <v>31.58304255</v>
      </c>
      <c r="BW5" s="70"/>
      <c r="BX5" s="74">
        <f t="shared" si="2"/>
        <v>2461.047854</v>
      </c>
      <c r="CB5" s="75"/>
      <c r="CC5" s="1"/>
    </row>
    <row r="6" ht="15.0" customHeight="1">
      <c r="A6" s="1"/>
      <c r="B6" s="76"/>
      <c r="K6" s="77"/>
      <c r="L6" s="1"/>
      <c r="M6" s="64" t="s">
        <v>9</v>
      </c>
      <c r="N6" s="65"/>
      <c r="O6" s="65"/>
      <c r="P6" s="65"/>
      <c r="Q6" s="65"/>
      <c r="R6" s="65"/>
      <c r="S6" s="65"/>
      <c r="T6" s="66"/>
      <c r="Z6" s="67"/>
      <c r="AA6" s="1"/>
      <c r="AB6" s="69" t="s">
        <v>27</v>
      </c>
      <c r="AI6" s="75"/>
      <c r="AJ6" s="71">
        <f>IF(IFERROR(ROUND(SUM(September!Sep_Liabilities)/SUM(September!Sep_Income),2),"")=0,"",
   ROUND(SUM(September!Sep_Liabilities)/SUM(September!Sep_Income),2))</f>
        <v>0.11</v>
      </c>
      <c r="AO6" s="75"/>
      <c r="AP6" s="1"/>
      <c r="AQ6" s="69"/>
      <c r="AW6" s="70"/>
      <c r="AX6" s="71"/>
      <c r="BA6" s="70"/>
      <c r="BB6" s="72" t="str">
        <f>IFERROR(IF(AX6="","",
   AX6*($AJ$5*SUM(September!Sep_Income))),
"")</f>
        <v/>
      </c>
      <c r="BG6" s="70"/>
      <c r="BH6" s="71"/>
      <c r="BK6" s="70"/>
      <c r="BL6" s="73" t="str">
        <f>IF(BH6="","",
   IF(August!BX6="",0,
      August!BX6))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"&amp;DOLLAR(AJ5*(SUM(September!Sep_Income)))&amp;". "
         &amp;IF(AJ5&gt;55%,"Its an excellent value!",
            IF(AJ5&gt;39%,"Its a great percentage!",
               IF(AJ5&gt;19%,"It´s a good value!",
                 "Increase your $ invested")))))</f>
        <v>Doing great, keep it up! 65% invested means $1.240,91. Its an excellent value!</v>
      </c>
      <c r="AC7" s="59"/>
      <c r="AD7" s="59"/>
      <c r="AE7" s="59"/>
      <c r="AF7" s="59"/>
      <c r="AG7" s="59"/>
      <c r="AH7" s="59"/>
      <c r="AI7" s="59"/>
      <c r="AJ7" s="59"/>
      <c r="AK7" s="59"/>
      <c r="AL7" s="59"/>
      <c r="AM7" s="59"/>
      <c r="AN7" s="59"/>
      <c r="AO7" s="5"/>
      <c r="AP7" s="1"/>
      <c r="AQ7" s="69"/>
      <c r="AW7" s="70"/>
      <c r="AX7" s="71"/>
      <c r="BA7" s="70"/>
      <c r="BB7" s="72" t="str">
        <f>IFERROR(IF(AX7="","",
   AX7*($AJ$5*SUM(September!Sep_Income))),
"")</f>
        <v/>
      </c>
      <c r="BG7" s="70"/>
      <c r="BH7" s="71"/>
      <c r="BK7" s="70"/>
      <c r="BL7" s="73" t="str">
        <f>IF(BH7="","",
   IF(August!BX7="",0,
      August!BX7))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AX8*($AJ$5*SUM(September!Sep_Income))),
"")</f>
        <v/>
      </c>
      <c r="BG8" s="70"/>
      <c r="BH8" s="71"/>
      <c r="BK8" s="70"/>
      <c r="BL8" s="73" t="str">
        <f>IF(BH8="","",
   IF(August!BX8="",0,
      August!BX8))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AX9*($AJ$5*SUM(September!Sep_Income))),
"")</f>
        <v/>
      </c>
      <c r="BG9" s="70"/>
      <c r="BH9" s="71"/>
      <c r="BK9" s="70"/>
      <c r="BL9" s="73" t="str">
        <f>IF(BH9="","",
   IF(August!BX9="",0,
      August!BX9))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AJ3+August!T11</f>
        <v>1700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SUM(September!Sep_Amo_Invested)-(V1*SUM(September!Sep_Income))</f>
        <v>1240.906955</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AQ16-August!AQ16</f>
        <v>22.2543842</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134.3216279</v>
      </c>
      <c r="AR16" s="24"/>
      <c r="AS16" s="24"/>
      <c r="AT16" s="24"/>
      <c r="AU16" s="24"/>
      <c r="AV16" s="24"/>
      <c r="AW16" s="25"/>
      <c r="AX16" s="1"/>
      <c r="AY16" s="102">
        <f>Database!J10</f>
        <v>0.01198580633</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SUM(September!Sep_Total_Invested)</f>
        <v>8311.544091</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(SUM(September!Sep_Income)-U25)-(AJ5*SUM(September!Sep_Income))-(AJ6*(SUM(September!Sep_Income)))-SUM(September!Sep_Happiness)-AJ3</f>
        <v>308.1810294</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BH2:BK2"/>
    <mergeCell ref="BB2:BG2"/>
    <mergeCell ref="AQ2:AW2"/>
    <mergeCell ref="AJ3:AO3"/>
    <mergeCell ref="AQ3:AW3"/>
    <mergeCell ref="T3:Z3"/>
    <mergeCell ref="AB3:AI3"/>
    <mergeCell ref="T4:Z4"/>
    <mergeCell ref="AX5:BA5"/>
    <mergeCell ref="AX7:BA7"/>
    <mergeCell ref="AX6:BA6"/>
    <mergeCell ref="T7:Z7"/>
    <mergeCell ref="AQ7:AW7"/>
    <mergeCell ref="BL7:BQ7"/>
    <mergeCell ref="BR7:BW7"/>
    <mergeCell ref="AJ6:AO6"/>
    <mergeCell ref="AQ6:AW6"/>
    <mergeCell ref="AQ5:AW5"/>
    <mergeCell ref="AB6:AI6"/>
    <mergeCell ref="AB5:AI5"/>
    <mergeCell ref="BL2:BQ2"/>
    <mergeCell ref="T2:Z2"/>
    <mergeCell ref="BR2:BW2"/>
    <mergeCell ref="BX2:CB2"/>
    <mergeCell ref="BL4:BQ4"/>
    <mergeCell ref="BR4:BW4"/>
    <mergeCell ref="BR5:BW5"/>
    <mergeCell ref="BR6:BW6"/>
    <mergeCell ref="BH4:BK4"/>
    <mergeCell ref="BB3:BG3"/>
    <mergeCell ref="BH3:BK3"/>
    <mergeCell ref="BB4:BG4"/>
    <mergeCell ref="AQ4:AW4"/>
    <mergeCell ref="BL5:BQ5"/>
    <mergeCell ref="BL6:BQ6"/>
    <mergeCell ref="AQ8:AW8"/>
    <mergeCell ref="AX8:BA8"/>
    <mergeCell ref="BB6:BG6"/>
    <mergeCell ref="BB9:BG9"/>
    <mergeCell ref="AQ9:AW9"/>
    <mergeCell ref="BH9:BK9"/>
    <mergeCell ref="AX9:BA9"/>
    <mergeCell ref="BL8:BQ8"/>
    <mergeCell ref="BL9:BQ9"/>
    <mergeCell ref="T6:Z6"/>
    <mergeCell ref="T10:Z10"/>
    <mergeCell ref="T15:Z15"/>
    <mergeCell ref="AB15:AI15"/>
    <mergeCell ref="AB13:AI13"/>
    <mergeCell ref="AB12:AI12"/>
    <mergeCell ref="AQ15:AW15"/>
    <mergeCell ref="AJ15:AO15"/>
    <mergeCell ref="M3:S3"/>
    <mergeCell ref="M4:S4"/>
    <mergeCell ref="AY12:BE14"/>
    <mergeCell ref="AY15:BE15"/>
    <mergeCell ref="M15:S15"/>
    <mergeCell ref="BL3:BQ3"/>
    <mergeCell ref="AX4:BA4"/>
    <mergeCell ref="AJ5:AO5"/>
    <mergeCell ref="T11:Z11"/>
    <mergeCell ref="AQ12:AW12"/>
    <mergeCell ref="M7:S7"/>
    <mergeCell ref="AQ10:CB10"/>
    <mergeCell ref="BX9:CB9"/>
    <mergeCell ref="BR9:BW9"/>
    <mergeCell ref="BR3:BW3"/>
    <mergeCell ref="BX3:CB3"/>
    <mergeCell ref="BX4:CB4"/>
    <mergeCell ref="BX5:CB5"/>
    <mergeCell ref="BB8:BG8"/>
    <mergeCell ref="BB7:BG7"/>
    <mergeCell ref="BH6:BK6"/>
    <mergeCell ref="BH8:BK8"/>
    <mergeCell ref="BH7:BK7"/>
    <mergeCell ref="BX8:CB8"/>
    <mergeCell ref="BR8:BW8"/>
    <mergeCell ref="M14:S14"/>
    <mergeCell ref="M13:S13"/>
    <mergeCell ref="BX7:CB7"/>
    <mergeCell ref="BX6:CB6"/>
    <mergeCell ref="M9:S9"/>
    <mergeCell ref="M8:S8"/>
    <mergeCell ref="T9:Z9"/>
    <mergeCell ref="T8:Z8"/>
    <mergeCell ref="M10:S10"/>
    <mergeCell ref="M11:S11"/>
    <mergeCell ref="M12:S12"/>
    <mergeCell ref="M6:S6"/>
    <mergeCell ref="AB7:AO10"/>
    <mergeCell ref="AQ13:AW13"/>
    <mergeCell ref="AQ16:AW16"/>
    <mergeCell ref="AJ16:AO16"/>
    <mergeCell ref="T12:Z12"/>
    <mergeCell ref="T13:Z13"/>
    <mergeCell ref="AJ12:AO12"/>
    <mergeCell ref="AJ13:AO13"/>
    <mergeCell ref="AB14:AI14"/>
    <mergeCell ref="AJ14:AO14"/>
    <mergeCell ref="T14:Z14"/>
    <mergeCell ref="T23:Z23"/>
    <mergeCell ref="T24:Z24"/>
    <mergeCell ref="M22:S22"/>
    <mergeCell ref="M23:S23"/>
    <mergeCell ref="M24:S24"/>
    <mergeCell ref="T20:Z20"/>
    <mergeCell ref="AB20:AI20"/>
    <mergeCell ref="AJ20:AO20"/>
    <mergeCell ref="AB21:AO24"/>
    <mergeCell ref="AQ21:AW21"/>
    <mergeCell ref="AQ22:AW22"/>
    <mergeCell ref="T22:Z22"/>
    <mergeCell ref="M18:S18"/>
    <mergeCell ref="M19:S19"/>
    <mergeCell ref="AB18:AI18"/>
    <mergeCell ref="AB19:AI19"/>
    <mergeCell ref="AQ18:AW18"/>
    <mergeCell ref="AQ19:AW19"/>
    <mergeCell ref="AJ18:AO18"/>
    <mergeCell ref="AJ19:AO19"/>
    <mergeCell ref="M20:S20"/>
    <mergeCell ref="M21:S21"/>
    <mergeCell ref="B3:K24"/>
    <mergeCell ref="B2:K2"/>
    <mergeCell ref="BH5:BK5"/>
    <mergeCell ref="BB5:BG5"/>
    <mergeCell ref="T5:Z5"/>
    <mergeCell ref="M5:S5"/>
    <mergeCell ref="AX2:BA2"/>
    <mergeCell ref="AX3:BA3"/>
    <mergeCell ref="AB2:AI2"/>
    <mergeCell ref="M2:S2"/>
    <mergeCell ref="AB17:AI17"/>
    <mergeCell ref="AJ17:AO17"/>
    <mergeCell ref="AY16:BE16"/>
    <mergeCell ref="M16:S16"/>
    <mergeCell ref="M17:S17"/>
    <mergeCell ref="T21:Z21"/>
    <mergeCell ref="T18:Z18"/>
    <mergeCell ref="T19:Z19"/>
    <mergeCell ref="T16:Z16"/>
    <mergeCell ref="AB16:AI16"/>
    <mergeCell ref="T17:Z17"/>
  </mergeCells>
  <printOptions/>
  <pageMargins bottom="0.75" footer="0.0" header="0.0" left="0.7" right="0.7" top="0.75"/>
  <pageSetup paperSize="9"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IF((SUM(October!Oct_Income)-V25)-(AJ5*SUM(October!Oct_Income))-(AJ6*(SUM(October!Oct_Income)))-SUM(October!Oct_Happiness)&lt;70,
   "Mate, slow down on the parties ok? You're going broke like that. Less fun budget for you. ",
      "Hey, with this planning you pay all your bills, invests and still have something left for your happy things. This is perfect! You'll still have "
&amp;DOLLAR(SUM(October!Oct_Income)-V25-(AJ5*SUM(October!Oct_Income))-(AJ6*(SUM(October!Oct_Income)))-SUM(October!Oct_Happiness)-AJ3)
         &amp;" left to buy whatever guilty pleasure you feel like. "
&amp;
IFERROR(ROUND((1-(AJ5+AJ6+(V25/SUM(October!Oct_Income))))*100,2)
   &amp;"% of your money is left after investing and liabilities, or "
   &amp;DOLLAR((SUM(October!Oct_Income)-V25)-(AJ5*SUM(October!Oct_Income))-(AJ6*(SUM(October!Oct_Income))))
   &amp;". "
   &amp;IF(AND(AK2=TRUE,T11&gt;October!Oct_Liabilities*12),"You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&amp;DOLLAR(SUM(October!Oct_Income)-V25)
      &amp;IF(T11&gt;SUM(October!Oct_Liabilities)*4," and excelent savings, good job",
         IF(T11&gt;SUM(October!Oct_Liabilities)*2," and ok savings, try saving more",
            IF(AK2=FALSE," but with terrible savings. Make it a priority! Save at least 4 times your expenses",""))),
""))</f>
        <v>Hey, with this planning you pay all your bills, invests and still have something left for your happy things. This is perfect! You'll still have $316,20 left to buy whatever guilty pleasure you feel like. 24% of your money is left after investing and liabilities, or $466,20. If you can manage it's ok. You'll start the month with $1.942,50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AX3*($AJ$5*SUM(October!Oct_Income))),
"")</f>
        <v>505.0506909</v>
      </c>
      <c r="BG3" s="70"/>
      <c r="BH3" s="71">
        <v>0.02</v>
      </c>
      <c r="BK3" s="70"/>
      <c r="BL3" s="73">
        <f>IF(BH3="","",
   IF(September!BX3="",0,
      September!BX3))</f>
        <v>3370.533003</v>
      </c>
      <c r="BQ3" s="70"/>
      <c r="BR3" s="72">
        <f t="shared" ref="BR3:BR9" si="1">IFERROR(
   IF(BB3="","",
      (BB3+BL3)*BH3)
,"")</f>
        <v>77.51167388</v>
      </c>
      <c r="BW3" s="70"/>
      <c r="BX3" s="74">
        <f t="shared" ref="BX3:BX9" si="2">IFERROR(
   IF(BH3="","",
      ((BB3+BL3)+(BB3+BL3)*BH3)),
"")</f>
        <v>3953.095368</v>
      </c>
      <c r="CB3" s="75"/>
      <c r="CC3" s="1"/>
    </row>
    <row r="4" ht="14.25" customHeight="1">
      <c r="A4" s="1"/>
      <c r="B4" s="76"/>
      <c r="K4" s="77"/>
      <c r="L4" s="1"/>
      <c r="M4" s="64" t="s">
        <v>4</v>
      </c>
      <c r="N4" s="65"/>
      <c r="O4" s="65"/>
      <c r="P4" s="65"/>
      <c r="Q4" s="65"/>
      <c r="R4" s="65"/>
      <c r="S4" s="65"/>
      <c r="T4" s="66">
        <f>September!AQ22</f>
        <v>308.1810294</v>
      </c>
      <c r="Z4" s="67"/>
      <c r="AA4" s="1"/>
      <c r="AB4" s="1"/>
      <c r="AC4" s="1"/>
      <c r="AD4" s="1"/>
      <c r="AE4" s="1"/>
      <c r="AF4" s="1"/>
      <c r="AG4" s="1"/>
      <c r="AH4" s="1"/>
      <c r="AI4" s="1"/>
      <c r="AJ4" s="1"/>
      <c r="AK4" s="1"/>
      <c r="AL4" s="1"/>
      <c r="AM4" s="1"/>
      <c r="AN4" s="1"/>
      <c r="AO4" s="1"/>
      <c r="AP4" s="1"/>
      <c r="AQ4" s="69" t="s">
        <v>41</v>
      </c>
      <c r="AW4" s="70"/>
      <c r="AX4" s="71">
        <v>0.3</v>
      </c>
      <c r="BA4" s="70"/>
      <c r="BB4" s="72">
        <f>IFERROR(IF(AX4="","",
   AX4*($AJ$5*SUM(October!Oct_Income))),
"")</f>
        <v>378.7880182</v>
      </c>
      <c r="BG4" s="70"/>
      <c r="BH4" s="71">
        <v>0.015</v>
      </c>
      <c r="BK4" s="70"/>
      <c r="BL4" s="73">
        <f>IF(BH4="","",
   IF(September!BX4="",0,
      September!BX4))</f>
        <v>2479.963234</v>
      </c>
      <c r="BQ4" s="70"/>
      <c r="BR4" s="72">
        <f t="shared" si="1"/>
        <v>42.88126879</v>
      </c>
      <c r="BW4" s="70"/>
      <c r="BX4" s="74">
        <f t="shared" si="2"/>
        <v>2901.632521</v>
      </c>
      <c r="CB4" s="75"/>
      <c r="CC4" s="1"/>
    </row>
    <row r="5" ht="15.0" customHeight="1">
      <c r="A5" s="1"/>
      <c r="B5" s="76"/>
      <c r="K5" s="77"/>
      <c r="L5" s="1"/>
      <c r="M5" s="64" t="s">
        <v>8</v>
      </c>
      <c r="N5" s="65"/>
      <c r="O5" s="65"/>
      <c r="P5" s="65"/>
      <c r="Q5" s="65"/>
      <c r="R5" s="65"/>
      <c r="S5" s="65"/>
      <c r="T5" s="66">
        <f>September!AQ16</f>
        <v>134.3216279</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AX5*($AJ$5*SUM(October!Oct_Income))),
"")</f>
        <v>378.7880182</v>
      </c>
      <c r="BG5" s="70"/>
      <c r="BH5" s="71">
        <v>0.013</v>
      </c>
      <c r="BK5" s="70"/>
      <c r="BL5" s="73">
        <f>IF(BH5="","",
   IF(September!BX5="",0,
      September!BX5))</f>
        <v>2461.047854</v>
      </c>
      <c r="BQ5" s="70"/>
      <c r="BR5" s="72">
        <f t="shared" si="1"/>
        <v>36.91786634</v>
      </c>
      <c r="BW5" s="70"/>
      <c r="BX5" s="74">
        <f t="shared" si="2"/>
        <v>2876.753738</v>
      </c>
      <c r="CB5" s="75"/>
      <c r="CC5" s="1"/>
    </row>
    <row r="6" ht="15.0" customHeight="1">
      <c r="A6" s="1"/>
      <c r="B6" s="76"/>
      <c r="K6" s="77"/>
      <c r="L6" s="1"/>
      <c r="M6" s="64" t="s">
        <v>9</v>
      </c>
      <c r="N6" s="65"/>
      <c r="O6" s="65"/>
      <c r="P6" s="65"/>
      <c r="Q6" s="65"/>
      <c r="R6" s="65"/>
      <c r="S6" s="65"/>
      <c r="T6" s="66"/>
      <c r="Z6" s="67"/>
      <c r="AA6" s="1"/>
      <c r="AB6" s="69" t="s">
        <v>27</v>
      </c>
      <c r="AI6" s="75"/>
      <c r="AJ6" s="71">
        <f>IF(IFERROR(ROUND(SUM(October!Oct_Liabilities)/SUM(October!Oct_Income),2),"")=0,"",
   ROUND(SUM(October!Oct_Liabilities)/SUM(October!Oct_Income),2))</f>
        <v>0.11</v>
      </c>
      <c r="AO6" s="75"/>
      <c r="AP6" s="1"/>
      <c r="AQ6" s="69"/>
      <c r="AW6" s="70"/>
      <c r="AX6" s="71"/>
      <c r="BA6" s="70"/>
      <c r="BB6" s="72" t="str">
        <f>IFERROR(IF(AX6="","",
   AX6*($AJ$5*SUM(October!Oct_Income))),
"")</f>
        <v/>
      </c>
      <c r="BG6" s="70"/>
      <c r="BH6" s="71"/>
      <c r="BK6" s="70"/>
      <c r="BL6" s="73" t="str">
        <f>IF(BH6="","",
   IF(September!BX6="",0,
      September!BX6))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"&amp;DOLLAR(AJ5*(SUM(October!Oct_Income)))&amp;". "
         &amp;IF(AJ5&gt;55%,"Its an excellent value!",
            IF(AJ5&gt;39%,"Its a great percentage!",
               IF(AJ5&gt;19%,"It´s a good value!",
                 "Increase your $ invested")))))</f>
        <v>Doing great, keep it up! 65% invested means $1.262,63. Its an excellent value!</v>
      </c>
      <c r="AC7" s="59"/>
      <c r="AD7" s="59"/>
      <c r="AE7" s="59"/>
      <c r="AF7" s="59"/>
      <c r="AG7" s="59"/>
      <c r="AH7" s="59"/>
      <c r="AI7" s="59"/>
      <c r="AJ7" s="59"/>
      <c r="AK7" s="59"/>
      <c r="AL7" s="59"/>
      <c r="AM7" s="59"/>
      <c r="AN7" s="59"/>
      <c r="AO7" s="5"/>
      <c r="AP7" s="1"/>
      <c r="AQ7" s="69"/>
      <c r="AW7" s="70"/>
      <c r="AX7" s="71"/>
      <c r="BA7" s="70"/>
      <c r="BB7" s="72" t="str">
        <f>IFERROR(IF(AX7="","",
   AX7*($AJ$5*SUM(October!Oct_Income))),
"")</f>
        <v/>
      </c>
      <c r="BG7" s="70"/>
      <c r="BH7" s="71"/>
      <c r="BK7" s="70"/>
      <c r="BL7" s="73" t="str">
        <f>IF(BH7="","",
   IF(September!BX7="",0,
      September!BX7))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AX8*($AJ$5*SUM(October!Oct_Income))),
"")</f>
        <v/>
      </c>
      <c r="BG8" s="70"/>
      <c r="BH8" s="71"/>
      <c r="BK8" s="70"/>
      <c r="BL8" s="73" t="str">
        <f>IF(BH8="","",
   IF(September!BX8="",0,
      September!BX8))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AX9*($AJ$5*SUM(October!Oct_Income))),
"")</f>
        <v/>
      </c>
      <c r="BG9" s="70"/>
      <c r="BH9" s="71"/>
      <c r="BK9" s="70"/>
      <c r="BL9" s="73" t="str">
        <f>IF(BH9="","",
   IF(September!BX9="",0,
      September!BX9))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AJ3+September!T11</f>
        <v>1800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SUM(October!Oct_Amo_Invested)-(V1*SUM(October!Oct_Income))</f>
        <v>1262.626727</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AQ16-August!AQ16</f>
        <v>45.24356527</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157.310809</v>
      </c>
      <c r="AR16" s="24"/>
      <c r="AS16" s="24"/>
      <c r="AT16" s="24"/>
      <c r="AU16" s="24"/>
      <c r="AV16" s="24"/>
      <c r="AW16" s="25"/>
      <c r="AX16" s="1"/>
      <c r="AY16" s="102">
        <f>Database!J11</f>
        <v>0.01171150256</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SUM(October!Oct_Total_Invested)</f>
        <v>9731.481628</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(SUM(October!Oct_Income)-U25)-(AJ5*SUM(October!Oct_Income))-(AJ6*(SUM(October!Oct_Income)))-SUM(October!Oct_Happiness)-AJ3</f>
        <v>316.2006378</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T3:Z3"/>
    <mergeCell ref="T2:Z2"/>
    <mergeCell ref="M3:S3"/>
    <mergeCell ref="M4:S4"/>
    <mergeCell ref="B2:K2"/>
    <mergeCell ref="M2:S2"/>
    <mergeCell ref="BH4:BK4"/>
    <mergeCell ref="BB4:BG4"/>
    <mergeCell ref="BH3:BK3"/>
    <mergeCell ref="BL3:BQ3"/>
    <mergeCell ref="AQ2:AW2"/>
    <mergeCell ref="AX2:BA2"/>
    <mergeCell ref="AB3:AI3"/>
    <mergeCell ref="AB2:AI2"/>
    <mergeCell ref="BH2:BK2"/>
    <mergeCell ref="AJ3:AO3"/>
    <mergeCell ref="T4:Z4"/>
    <mergeCell ref="BL2:BQ2"/>
    <mergeCell ref="AQ4:AW4"/>
    <mergeCell ref="AX4:BA4"/>
    <mergeCell ref="AX3:BA3"/>
    <mergeCell ref="BL4:BQ4"/>
    <mergeCell ref="BR7:BW7"/>
    <mergeCell ref="BR3:BW3"/>
    <mergeCell ref="BB6:BG6"/>
    <mergeCell ref="BH6:BK6"/>
    <mergeCell ref="BH7:BK7"/>
    <mergeCell ref="BH5:BK5"/>
    <mergeCell ref="BL5:BQ5"/>
    <mergeCell ref="BL6:BQ6"/>
    <mergeCell ref="BL7:BQ7"/>
    <mergeCell ref="AQ3:AW3"/>
    <mergeCell ref="AX5:BA5"/>
    <mergeCell ref="AX7:BA7"/>
    <mergeCell ref="AQ7:AW7"/>
    <mergeCell ref="AQ5:AW5"/>
    <mergeCell ref="BB7:BG7"/>
    <mergeCell ref="BB5:BG5"/>
    <mergeCell ref="AQ9:AW9"/>
    <mergeCell ref="AQ10:CB10"/>
    <mergeCell ref="BX9:CB9"/>
    <mergeCell ref="BR9:BW9"/>
    <mergeCell ref="BL9:BQ9"/>
    <mergeCell ref="BX8:CB8"/>
    <mergeCell ref="BR8:BW8"/>
    <mergeCell ref="AQ8:AW8"/>
    <mergeCell ref="AX8:BA8"/>
    <mergeCell ref="BB9:BG9"/>
    <mergeCell ref="BH9:BK9"/>
    <mergeCell ref="AX9:BA9"/>
    <mergeCell ref="BL8:BQ8"/>
    <mergeCell ref="AJ12:AO12"/>
    <mergeCell ref="AJ13:AO13"/>
    <mergeCell ref="M15:S15"/>
    <mergeCell ref="M16:S16"/>
    <mergeCell ref="T16:Z16"/>
    <mergeCell ref="AB13:AI13"/>
    <mergeCell ref="AB12:AI12"/>
    <mergeCell ref="AQ15:AW15"/>
    <mergeCell ref="AQ12:AW12"/>
    <mergeCell ref="AQ13:AW13"/>
    <mergeCell ref="AQ16:AW16"/>
    <mergeCell ref="AJ14:AO14"/>
    <mergeCell ref="AB16:AI16"/>
    <mergeCell ref="AX6:BA6"/>
    <mergeCell ref="AJ6:AO6"/>
    <mergeCell ref="AQ6:AW6"/>
    <mergeCell ref="AJ5:AO5"/>
    <mergeCell ref="AB7:AO10"/>
    <mergeCell ref="BR2:BW2"/>
    <mergeCell ref="BX2:CB2"/>
    <mergeCell ref="BX3:CB3"/>
    <mergeCell ref="BR4:BW4"/>
    <mergeCell ref="BX4:CB4"/>
    <mergeCell ref="BR5:BW5"/>
    <mergeCell ref="BR6:BW6"/>
    <mergeCell ref="BX5:CB5"/>
    <mergeCell ref="BX7:CB7"/>
    <mergeCell ref="BX6:CB6"/>
    <mergeCell ref="BB2:BG2"/>
    <mergeCell ref="BB3:BG3"/>
    <mergeCell ref="BB8:BG8"/>
    <mergeCell ref="BH8:BK8"/>
    <mergeCell ref="AJ15:AO15"/>
    <mergeCell ref="AJ16:AO16"/>
    <mergeCell ref="AY12:BE14"/>
    <mergeCell ref="AY15:BE15"/>
    <mergeCell ref="AY16:BE16"/>
    <mergeCell ref="AQ18:AW18"/>
    <mergeCell ref="AQ19:AW19"/>
    <mergeCell ref="AJ18:AO18"/>
    <mergeCell ref="AJ19:AO19"/>
    <mergeCell ref="AJ17:AO17"/>
    <mergeCell ref="AB20:AI20"/>
    <mergeCell ref="AJ20:AO20"/>
    <mergeCell ref="AB21:AO24"/>
    <mergeCell ref="AQ21:AW21"/>
    <mergeCell ref="AQ22:AW22"/>
    <mergeCell ref="AB18:AI18"/>
    <mergeCell ref="AB19:AI19"/>
    <mergeCell ref="T12:Z12"/>
    <mergeCell ref="T13:Z13"/>
    <mergeCell ref="AB6:AI6"/>
    <mergeCell ref="AB5:AI5"/>
    <mergeCell ref="T6:Z6"/>
    <mergeCell ref="T10:Z10"/>
    <mergeCell ref="T11:Z11"/>
    <mergeCell ref="AB14:AI14"/>
    <mergeCell ref="T5:Z5"/>
    <mergeCell ref="T7:Z7"/>
    <mergeCell ref="M7:S7"/>
    <mergeCell ref="T9:Z9"/>
    <mergeCell ref="T8:Z8"/>
    <mergeCell ref="M13:S13"/>
    <mergeCell ref="M9:S9"/>
    <mergeCell ref="M8:S8"/>
    <mergeCell ref="M10:S10"/>
    <mergeCell ref="M11:S11"/>
    <mergeCell ref="M12:S12"/>
    <mergeCell ref="M6:S6"/>
    <mergeCell ref="M21:S21"/>
    <mergeCell ref="B3:K24"/>
    <mergeCell ref="M5:S5"/>
    <mergeCell ref="M17:S17"/>
    <mergeCell ref="M14:S14"/>
    <mergeCell ref="M22:S22"/>
    <mergeCell ref="M23:S23"/>
    <mergeCell ref="M24:S24"/>
    <mergeCell ref="M18:S18"/>
    <mergeCell ref="M19:S19"/>
    <mergeCell ref="M20:S20"/>
    <mergeCell ref="AB15:AI15"/>
    <mergeCell ref="AB17:AI17"/>
    <mergeCell ref="T18:Z18"/>
    <mergeCell ref="T19:Z19"/>
    <mergeCell ref="T15:Z15"/>
    <mergeCell ref="T14:Z14"/>
    <mergeCell ref="T23:Z23"/>
    <mergeCell ref="T24:Z24"/>
    <mergeCell ref="T20:Z20"/>
    <mergeCell ref="T22:Z22"/>
    <mergeCell ref="T21:Z21"/>
    <mergeCell ref="T17:Z17"/>
  </mergeCells>
  <printOptions/>
  <pageMargins bottom="0.75" footer="0.0" header="0.0" left="0.7" right="0.7" top="0.75"/>
  <pageSetup paperSize="9"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IF((SUM(November!Nov_Income)-V25)-(AJ5*SUM(November!Nov_Income))-(AJ6*(SUM(November!Nov_Income)))-SUM(November!Nov_Happiness)&lt;70,
   "Mate, slow down on the parties ok? You're going broke like that. Less fun budget for you. ",
      "Hey, with this planning you pay all your bills, invests and still have something left for your happy things. This is perfect! You'll still have "
&amp;DOLLAR(SUM(November!Nov_Income)-V25-(AJ5*SUM(November!Nov_Income))-(AJ6*(SUM(November!Nov_Income)))-SUM(November!Nov_Happiness)-AJ3)
         &amp;" left to buy whatever guilty pleasure you feel like. "
&amp;
IFERROR(ROUND((1-(AJ5+AJ6+(V25/SUM(November!Nov_Income))))*100,2)
   &amp;"% of your money is left after investing and liabilities, or "
   &amp;DOLLAR((SUM(November!Nov_Income)-V25)-(AJ5*SUM(November!Nov_Income))-(AJ6*(SUM(November!Nov_Income))))
   &amp;". "
   &amp;IF(AND(AK2=TRUE,T11&gt;November!Nov_Liabilities*12),"You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&amp;DOLLAR(SUM(November!Nov_Income)-V25)
      &amp;IF(T11&gt;SUM(November!Nov_Liabilities)*4," and excelent savings, good job",
         IF(T11&gt;SUM(November!Nov_Liabilities)*2," and ok savings, try saving more",
            IF(AK2=FALSE," but with terrible savings. Make it a priority! Save at least 4 times your expenses",""))),
""))</f>
        <v>Hey, with this planning you pay all your bills, invests and still have something left for your happy things. This is perfect! You'll still have $323,64 left to buy whatever guilty pleasure you feel like. 24% of your money is left after investing and liabilities, or $473,64. If you can manage it's ok. You'll start the month with $1.973,51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AX3*($AJ$5*SUM(November!Nov_Income))),
"")</f>
        <v>513.1129762</v>
      </c>
      <c r="BG3" s="70"/>
      <c r="BH3" s="71">
        <v>0.02</v>
      </c>
      <c r="BK3" s="70"/>
      <c r="BL3" s="73">
        <f>IF(BH3="","",
   IF(October!BX3="",0,
      October!BX3))</f>
        <v>3953.095368</v>
      </c>
      <c r="BQ3" s="70"/>
      <c r="BR3" s="72">
        <f t="shared" ref="BR3:BR9" si="1">IFERROR(
   IF(BB3="","",
      (BB3+BL3)*BH3)
,"")</f>
        <v>89.32416688</v>
      </c>
      <c r="BW3" s="70"/>
      <c r="BX3" s="74">
        <f t="shared" ref="BX3:BX9" si="2">IFERROR(
   IF(BH3="","",
      ((BB3+BL3)+(BB3+BL3)*BH3)),
"")</f>
        <v>4555.532511</v>
      </c>
      <c r="CB3" s="75"/>
      <c r="CC3" s="1"/>
    </row>
    <row r="4" ht="14.25" customHeight="1">
      <c r="A4" s="1"/>
      <c r="B4" s="76"/>
      <c r="K4" s="77"/>
      <c r="L4" s="1"/>
      <c r="M4" s="64" t="s">
        <v>4</v>
      </c>
      <c r="N4" s="65"/>
      <c r="O4" s="65"/>
      <c r="P4" s="65"/>
      <c r="Q4" s="65"/>
      <c r="R4" s="65"/>
      <c r="S4" s="65"/>
      <c r="T4" s="66">
        <f>October!AQ22</f>
        <v>316.2006378</v>
      </c>
      <c r="Z4" s="67"/>
      <c r="AA4" s="1"/>
      <c r="AB4" s="1"/>
      <c r="AC4" s="1"/>
      <c r="AD4" s="1"/>
      <c r="AE4" s="1"/>
      <c r="AF4" s="1"/>
      <c r="AG4" s="1"/>
      <c r="AH4" s="1"/>
      <c r="AI4" s="1"/>
      <c r="AJ4" s="1"/>
      <c r="AK4" s="1"/>
      <c r="AL4" s="1"/>
      <c r="AM4" s="1"/>
      <c r="AN4" s="1"/>
      <c r="AO4" s="1"/>
      <c r="AP4" s="1"/>
      <c r="AQ4" s="69" t="s">
        <v>41</v>
      </c>
      <c r="AW4" s="70"/>
      <c r="AX4" s="71">
        <v>0.3</v>
      </c>
      <c r="BA4" s="70"/>
      <c r="BB4" s="72">
        <f>IFERROR(IF(AX4="","",
   AX4*($AJ$5*SUM(November!Nov_Income))),
"")</f>
        <v>384.8347321</v>
      </c>
      <c r="BG4" s="70"/>
      <c r="BH4" s="71">
        <v>0.015</v>
      </c>
      <c r="BK4" s="70"/>
      <c r="BL4" s="73">
        <f>IF(BH4="","",
   IF(October!BX4="",0,
      October!BX4))</f>
        <v>2901.632521</v>
      </c>
      <c r="BQ4" s="70"/>
      <c r="BR4" s="72">
        <f t="shared" si="1"/>
        <v>49.2970088</v>
      </c>
      <c r="BW4" s="70"/>
      <c r="BX4" s="74">
        <f t="shared" si="2"/>
        <v>3335.764262</v>
      </c>
      <c r="CB4" s="75"/>
      <c r="CC4" s="1"/>
    </row>
    <row r="5" ht="15.0" customHeight="1">
      <c r="A5" s="1"/>
      <c r="B5" s="76"/>
      <c r="K5" s="77"/>
      <c r="L5" s="1"/>
      <c r="M5" s="64" t="s">
        <v>8</v>
      </c>
      <c r="N5" s="65"/>
      <c r="O5" s="65"/>
      <c r="P5" s="65"/>
      <c r="Q5" s="65"/>
      <c r="R5" s="65"/>
      <c r="S5" s="65"/>
      <c r="T5" s="66">
        <f>October!AQ16</f>
        <v>157.310809</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AX5*($AJ$5*SUM(November!Nov_Income))),
"")</f>
        <v>384.8347321</v>
      </c>
      <c r="BG5" s="70"/>
      <c r="BH5" s="71">
        <v>0.013</v>
      </c>
      <c r="BK5" s="70"/>
      <c r="BL5" s="73">
        <f>IF(BH5="","",
   IF(October!BX5="",0,
      October!BX5))</f>
        <v>2876.753738</v>
      </c>
      <c r="BQ5" s="70"/>
      <c r="BR5" s="72">
        <f t="shared" si="1"/>
        <v>42.40065012</v>
      </c>
      <c r="BW5" s="70"/>
      <c r="BX5" s="74">
        <f t="shared" si="2"/>
        <v>3303.989121</v>
      </c>
      <c r="CB5" s="75"/>
      <c r="CC5" s="1"/>
    </row>
    <row r="6" ht="15.0" customHeight="1">
      <c r="A6" s="1"/>
      <c r="B6" s="76"/>
      <c r="K6" s="77"/>
      <c r="L6" s="1"/>
      <c r="M6" s="64" t="s">
        <v>9</v>
      </c>
      <c r="N6" s="65"/>
      <c r="O6" s="65"/>
      <c r="P6" s="65"/>
      <c r="Q6" s="65"/>
      <c r="R6" s="65"/>
      <c r="S6" s="65"/>
      <c r="T6" s="66"/>
      <c r="Z6" s="67"/>
      <c r="AA6" s="1"/>
      <c r="AB6" s="69" t="s">
        <v>27</v>
      </c>
      <c r="AI6" s="75"/>
      <c r="AJ6" s="71">
        <f>IF(IFERROR(ROUND(SUM(November!Nov_Liabilities)/SUM(November!Nov_Income),2),"")=0,"",
   ROUND(SUM(November!Nov_Liabilities)/SUM(November!Nov_Income),2))</f>
        <v>0.11</v>
      </c>
      <c r="AO6" s="75"/>
      <c r="AP6" s="1"/>
      <c r="AQ6" s="69"/>
      <c r="AW6" s="70"/>
      <c r="AX6" s="71"/>
      <c r="BA6" s="70"/>
      <c r="BB6" s="72" t="str">
        <f>IFERROR(IF(AX6="","",
   AX6*($AJ$5*SUM(November!Nov_Income))),
"")</f>
        <v/>
      </c>
      <c r="BG6" s="70"/>
      <c r="BH6" s="71"/>
      <c r="BK6" s="70"/>
      <c r="BL6" s="73" t="str">
        <f>IF(BH6="","",
   IF(October!BX6="",0,
      October!BX6))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"&amp;DOLLAR(AJ5*(SUM(November!Nov_Income)))&amp;". "
         &amp;IF(AJ5&gt;55%,"Its an excellent value!",
            IF(AJ5&gt;39%,"Its a great percentage!",
               IF(AJ5&gt;19%,"It´s a good value!",
                 "Increase your $ invested")))))</f>
        <v>Doing great, keep it up! 65% invested means $1.282,78. Its an excellent value!</v>
      </c>
      <c r="AC7" s="59"/>
      <c r="AD7" s="59"/>
      <c r="AE7" s="59"/>
      <c r="AF7" s="59"/>
      <c r="AG7" s="59"/>
      <c r="AH7" s="59"/>
      <c r="AI7" s="59"/>
      <c r="AJ7" s="59"/>
      <c r="AK7" s="59"/>
      <c r="AL7" s="59"/>
      <c r="AM7" s="59"/>
      <c r="AN7" s="59"/>
      <c r="AO7" s="5"/>
      <c r="AP7" s="1"/>
      <c r="AQ7" s="69"/>
      <c r="AW7" s="70"/>
      <c r="AX7" s="71"/>
      <c r="BA7" s="70"/>
      <c r="BB7" s="72" t="str">
        <f>IFERROR(IF(AX7="","",
   AX7*($AJ$5*SUM(November!Nov_Income))),
"")</f>
        <v/>
      </c>
      <c r="BG7" s="70"/>
      <c r="BH7" s="71"/>
      <c r="BK7" s="70"/>
      <c r="BL7" s="73" t="str">
        <f>IF(BH7="","",
   IF(October!BX7="",0,
      October!BX7))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AX8*($AJ$5*SUM(November!Nov_Income))),
"")</f>
        <v/>
      </c>
      <c r="BG8" s="70"/>
      <c r="BH8" s="71"/>
      <c r="BK8" s="70"/>
      <c r="BL8" s="73" t="str">
        <f>IF(BH8="","",
   IF(October!BX8="",0,
      October!BX8))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AX9*($AJ$5*SUM(November!Nov_Income))),
"")</f>
        <v/>
      </c>
      <c r="BG9" s="70"/>
      <c r="BH9" s="71"/>
      <c r="BK9" s="70"/>
      <c r="BL9" s="73" t="str">
        <f>IF(BH9="","",
   IF(October!BX9="",0,
      October!BX9))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AJ3+October!T11</f>
        <v>1900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SUM(November!Nov_Amo_Invested)-(V1*SUM(November!Nov_Income))</f>
        <v>1282.78244</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AQ16-August!AQ16</f>
        <v>68.95458207</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181.0218258</v>
      </c>
      <c r="AR16" s="24"/>
      <c r="AS16" s="24"/>
      <c r="AT16" s="24"/>
      <c r="AU16" s="24"/>
      <c r="AV16" s="24"/>
      <c r="AW16" s="25"/>
      <c r="AX16" s="1"/>
      <c r="AY16" s="102">
        <f>Database!J12</f>
        <v>0.01150727194</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SUM(November!Nov_Total_Invested)</f>
        <v>11195.28589</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(SUM(November!Nov_Income)-U25)-(AJ5*SUM(November!Nov_Income))-(AJ6*(SUM(November!Nov_Income)))-SUM(November!Nov_Happiness)-AJ3</f>
        <v>323.6427472</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BR6:BW6"/>
    <mergeCell ref="BX7:CB7"/>
    <mergeCell ref="AB6:AI6"/>
    <mergeCell ref="T6:Z6"/>
    <mergeCell ref="M6:S6"/>
    <mergeCell ref="BH6:BK6"/>
    <mergeCell ref="BH7:BK7"/>
    <mergeCell ref="AX7:BA7"/>
    <mergeCell ref="AQ7:AW7"/>
    <mergeCell ref="AX6:BA6"/>
    <mergeCell ref="AJ6:AO6"/>
    <mergeCell ref="AQ6:AW6"/>
    <mergeCell ref="AQ2:AW2"/>
    <mergeCell ref="AX2:BA2"/>
    <mergeCell ref="BH2:BK2"/>
    <mergeCell ref="BL2:BQ2"/>
    <mergeCell ref="BR2:BW2"/>
    <mergeCell ref="BX2:CB2"/>
    <mergeCell ref="BB2:BG2"/>
    <mergeCell ref="AB3:AI3"/>
    <mergeCell ref="AB2:AI2"/>
    <mergeCell ref="M4:S4"/>
    <mergeCell ref="T4:Z4"/>
    <mergeCell ref="AQ4:AW4"/>
    <mergeCell ref="AX4:BA4"/>
    <mergeCell ref="BR4:BW4"/>
    <mergeCell ref="BX4:CB4"/>
    <mergeCell ref="AX3:BA3"/>
    <mergeCell ref="AQ3:AW3"/>
    <mergeCell ref="BX3:CB3"/>
    <mergeCell ref="T3:Z3"/>
    <mergeCell ref="T2:Z2"/>
    <mergeCell ref="M3:S3"/>
    <mergeCell ref="B2:K2"/>
    <mergeCell ref="M2:S2"/>
    <mergeCell ref="BB4:BG4"/>
    <mergeCell ref="AJ3:AO3"/>
    <mergeCell ref="AB5:AI5"/>
    <mergeCell ref="T5:Z5"/>
    <mergeCell ref="M5:S5"/>
    <mergeCell ref="BH5:BK5"/>
    <mergeCell ref="AX5:BA5"/>
    <mergeCell ref="AQ5:AW5"/>
    <mergeCell ref="AJ5:AO5"/>
    <mergeCell ref="BR5:BW5"/>
    <mergeCell ref="BX5:CB5"/>
    <mergeCell ref="AJ13:AO13"/>
    <mergeCell ref="T12:Z12"/>
    <mergeCell ref="T13:Z13"/>
    <mergeCell ref="M13:S13"/>
    <mergeCell ref="M9:S9"/>
    <mergeCell ref="M10:S10"/>
    <mergeCell ref="M11:S11"/>
    <mergeCell ref="M12:S12"/>
    <mergeCell ref="M15:S15"/>
    <mergeCell ref="M14:S14"/>
    <mergeCell ref="AB15:AI15"/>
    <mergeCell ref="T15:Z15"/>
    <mergeCell ref="AY15:BE15"/>
    <mergeCell ref="AQ8:AW8"/>
    <mergeCell ref="AX8:BA8"/>
    <mergeCell ref="M16:S16"/>
    <mergeCell ref="AB7:AO10"/>
    <mergeCell ref="AJ16:AO16"/>
    <mergeCell ref="M8:S8"/>
    <mergeCell ref="T14:Z14"/>
    <mergeCell ref="AQ13:AW13"/>
    <mergeCell ref="AY12:BE14"/>
    <mergeCell ref="AY16:BE16"/>
    <mergeCell ref="T23:Z23"/>
    <mergeCell ref="T20:Z20"/>
    <mergeCell ref="T22:Z22"/>
    <mergeCell ref="T21:Z21"/>
    <mergeCell ref="T9:Z9"/>
    <mergeCell ref="T8:Z8"/>
    <mergeCell ref="B3:K24"/>
    <mergeCell ref="M22:S22"/>
    <mergeCell ref="M23:S23"/>
    <mergeCell ref="M24:S24"/>
    <mergeCell ref="T24:Z24"/>
    <mergeCell ref="T17:Z17"/>
    <mergeCell ref="AB13:AI13"/>
    <mergeCell ref="AB12:AI12"/>
    <mergeCell ref="AB20:AI20"/>
    <mergeCell ref="AB21:AO24"/>
    <mergeCell ref="AB18:AI18"/>
    <mergeCell ref="AB19:AI19"/>
    <mergeCell ref="AB14:AI14"/>
    <mergeCell ref="AB17:AI17"/>
    <mergeCell ref="AQ15:AW15"/>
    <mergeCell ref="AQ16:AW16"/>
    <mergeCell ref="AQ18:AW18"/>
    <mergeCell ref="AQ19:AW19"/>
    <mergeCell ref="AQ21:AW21"/>
    <mergeCell ref="AQ22:AW22"/>
    <mergeCell ref="AJ14:AO14"/>
    <mergeCell ref="AJ15:AO15"/>
    <mergeCell ref="AJ18:AO18"/>
    <mergeCell ref="AJ19:AO19"/>
    <mergeCell ref="AJ17:AO17"/>
    <mergeCell ref="AJ20:AO20"/>
    <mergeCell ref="T10:Z10"/>
    <mergeCell ref="T11:Z11"/>
    <mergeCell ref="T7:Z7"/>
    <mergeCell ref="M7:S7"/>
    <mergeCell ref="T18:Z18"/>
    <mergeCell ref="T19:Z19"/>
    <mergeCell ref="T16:Z16"/>
    <mergeCell ref="AB16:AI16"/>
    <mergeCell ref="M21:S21"/>
    <mergeCell ref="M17:S17"/>
    <mergeCell ref="M18:S18"/>
    <mergeCell ref="M19:S19"/>
    <mergeCell ref="M20:S20"/>
    <mergeCell ref="BH4:BK4"/>
    <mergeCell ref="BH3:BK3"/>
    <mergeCell ref="BL3:BQ3"/>
    <mergeCell ref="BR7:BW7"/>
    <mergeCell ref="BR3:BW3"/>
    <mergeCell ref="BB7:BG7"/>
    <mergeCell ref="BB3:BG3"/>
    <mergeCell ref="BL7:BQ7"/>
    <mergeCell ref="BB5:BG5"/>
    <mergeCell ref="AQ9:AW9"/>
    <mergeCell ref="AQ10:CB10"/>
    <mergeCell ref="BX9:CB9"/>
    <mergeCell ref="BR9:BW9"/>
    <mergeCell ref="AX9:BA9"/>
    <mergeCell ref="BH8:BK8"/>
    <mergeCell ref="BX8:CB8"/>
    <mergeCell ref="BR8:BW8"/>
    <mergeCell ref="BB9:BG9"/>
    <mergeCell ref="BH9:BK9"/>
    <mergeCell ref="AJ12:AO12"/>
    <mergeCell ref="AQ12:AW12"/>
    <mergeCell ref="BB6:BG6"/>
    <mergeCell ref="BB8:BG8"/>
    <mergeCell ref="BL4:BQ4"/>
    <mergeCell ref="BL5:BQ5"/>
    <mergeCell ref="BX6:CB6"/>
    <mergeCell ref="BL6:BQ6"/>
    <mergeCell ref="BL8:BQ8"/>
    <mergeCell ref="BL9:BQ9"/>
  </mergeCells>
  <printOptions/>
  <pageMargins bottom="0.75" footer="0.0" header="0.0" left="0.7" right="0.7" top="0.75"/>
  <pageSetup paperSize="9"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7F7F7F"/>
    <pageSetUpPr/>
  </sheetPr>
  <sheetViews>
    <sheetView showGridLines="0" workbookViewId="0"/>
  </sheetViews>
  <sheetFormatPr customHeight="1" defaultColWidth="12.63" defaultRowHeight="15.0"/>
  <cols>
    <col customWidth="1" min="1" max="1" width="0.75"/>
    <col customWidth="1" min="2" max="11" width="2.25"/>
    <col customWidth="1" min="12" max="12" width="0.75"/>
    <col customWidth="1" min="13" max="26" width="2.25"/>
    <col customWidth="1" min="27" max="27" width="1.0"/>
    <col customWidth="1" min="28" max="41" width="2.25"/>
    <col customWidth="1" min="42" max="42" width="0.75"/>
    <col customWidth="1" min="43" max="80" width="2.25"/>
    <col customWidth="1" min="81" max="81" width="0.88"/>
  </cols>
  <sheetData>
    <row r="1" ht="5.25" customHeight="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row>
    <row r="2" ht="15.0" customHeight="1">
      <c r="A2" s="1"/>
      <c r="B2" s="43" t="s">
        <v>13</v>
      </c>
      <c r="C2" s="44"/>
      <c r="D2" s="44"/>
      <c r="E2" s="44"/>
      <c r="F2" s="44"/>
      <c r="G2" s="44"/>
      <c r="H2" s="44"/>
      <c r="I2" s="44"/>
      <c r="J2" s="44"/>
      <c r="K2" s="45"/>
      <c r="L2" s="1"/>
      <c r="M2" s="46" t="s">
        <v>14</v>
      </c>
      <c r="N2" s="47"/>
      <c r="O2" s="47"/>
      <c r="P2" s="47"/>
      <c r="Q2" s="47"/>
      <c r="R2" s="47"/>
      <c r="S2" s="48"/>
      <c r="T2" s="6" t="s">
        <v>15</v>
      </c>
      <c r="U2" s="49"/>
      <c r="V2" s="49"/>
      <c r="W2" s="49"/>
      <c r="X2" s="49"/>
      <c r="Y2" s="49"/>
      <c r="Z2" s="7"/>
      <c r="AA2" s="1"/>
      <c r="AB2" s="50" t="s">
        <v>16</v>
      </c>
      <c r="AC2" s="51"/>
      <c r="AD2" s="51"/>
      <c r="AE2" s="51"/>
      <c r="AF2" s="51"/>
      <c r="AG2" s="51"/>
      <c r="AH2" s="51"/>
      <c r="AI2" s="52"/>
      <c r="AJ2" s="53"/>
      <c r="AK2" s="54" t="b">
        <v>0</v>
      </c>
      <c r="AL2" s="55"/>
      <c r="AM2" s="54"/>
      <c r="AN2" s="55"/>
      <c r="AO2" s="56"/>
      <c r="AP2" s="1"/>
      <c r="AQ2" s="57" t="s">
        <v>17</v>
      </c>
      <c r="AR2" s="51"/>
      <c r="AS2" s="51"/>
      <c r="AT2" s="51"/>
      <c r="AU2" s="51"/>
      <c r="AV2" s="51"/>
      <c r="AW2" s="52"/>
      <c r="AX2" s="58" t="s">
        <v>18</v>
      </c>
      <c r="AY2" s="59"/>
      <c r="AZ2" s="59"/>
      <c r="BA2" s="60"/>
      <c r="BB2" s="61" t="s">
        <v>19</v>
      </c>
      <c r="BC2" s="59"/>
      <c r="BD2" s="59"/>
      <c r="BE2" s="59"/>
      <c r="BF2" s="59"/>
      <c r="BG2" s="60"/>
      <c r="BH2" s="58" t="s">
        <v>20</v>
      </c>
      <c r="BI2" s="59"/>
      <c r="BJ2" s="59"/>
      <c r="BK2" s="60"/>
      <c r="BL2" s="61" t="s">
        <v>21</v>
      </c>
      <c r="BM2" s="59"/>
      <c r="BN2" s="59"/>
      <c r="BO2" s="59"/>
      <c r="BP2" s="59"/>
      <c r="BQ2" s="60"/>
      <c r="BR2" s="61" t="s">
        <v>22</v>
      </c>
      <c r="BS2" s="59"/>
      <c r="BT2" s="59"/>
      <c r="BU2" s="59"/>
      <c r="BV2" s="59"/>
      <c r="BW2" s="60"/>
      <c r="BX2" s="62" t="s">
        <v>23</v>
      </c>
      <c r="BY2" s="59"/>
      <c r="BZ2" s="59"/>
      <c r="CA2" s="59"/>
      <c r="CB2" s="5"/>
      <c r="CC2" s="1"/>
    </row>
    <row r="3" ht="14.25" customHeight="1">
      <c r="A3" s="1"/>
      <c r="B3" s="63" t="str">
        <f t="array" ref="B3">IF((SUM(December!Dec_Income)-V25)-(AJ5*SUM(December!Dec_Income))-(AJ6*(SUM(December!Dec_Income)))-SUM(December!Dec_Happiness)&lt;70,
   "Mate, slow down on the parties ok? You're going broke like that. Less fun budget for you. ",
      "Hey, with this planning you pay all your bills, invests and still have something left for your happy things. This is perfect! You'll still have "
&amp;DOLLAR(SUM(December!Dec_Income)-V25-(AJ5*SUM(December!Dec_Income))-(AJ6*(SUM(December!Dec_Income)))-SUM(December!Dec_Happiness)-AJ3)
         &amp;" left to buy whatever guilty pleasure you feel like. "
&amp;
IFERROR(ROUND((1-(AJ5+AJ6+(V25/SUM(December!Dec_Income))))*100,2)
   &amp;"% of your money is left after investing and liabilities, or "
   &amp;DOLLAR((SUM(December!Dec_Income)-V25)-(AJ5*SUM(December!Dec_Income))-(AJ6*(SUM(December!Dec_Income))))
   &amp;". "
   &amp;IF(AND(AK2=TRUE,T11&gt;December!Dec_Liabilities*12),"You have enough savings to go a whole year without any income, better than saving money is making it work for you",
      IF(AK2=FALSE,
         IF(AJ5=0,"Start Investing",
            IF(AJ5&lt;14%,"You only have money cause you're not even trying to invest. Come on, it's easy, you know you'll regret. Think of the kids, tiger...",
               IF(((1-(AJ5+AJ6))*100)&lt;0,"You're making debt? Review your numbers, i think you wrote something wrong. Or try do decrease the amount planned to invest",
                  IF((1-(AJ5+AJ6))&lt;=19%,"Unhealthy lifestyle. You'll turn out depressed, is just not worth it. Decrease preferably your liabilities or your money being invested",
                     IF((1-(AJ5+AJ6))&lt;=29%,"If you can manage it's ok",
                     "Way to go, mate!"))))),
      "Good that you'll focus on having savings this month"))
   &amp;". "
   &amp;"You'll start the month with "
      &amp;DOLLAR(SUM(December!Dec_Income)-V25)
      &amp;IF(T11&gt;SUM(December!Dec_Liabilities)*4," and excelent savings, good job",
         IF(T11&gt;SUM(December!Dec_Liabilities)*2," and ok savings, try saving more",
            IF(AK2=FALSE," but with terrible savings. Make it a priority! Save at least 4 times your expenses",""))),
""))</f>
        <v>Hey, with this planning you pay all your bills, invests and still have something left for your happy things. This is perfect! You'll still have $331,12 left to buy whatever guilty pleasure you feel like. 24% of your money is left after investing and liabilities, or $481,12. If you can manage it's ok. You'll start the month with $2.004,66 and excelent savings, good job</v>
      </c>
      <c r="C3" s="44"/>
      <c r="D3" s="44"/>
      <c r="E3" s="44"/>
      <c r="F3" s="44"/>
      <c r="G3" s="44"/>
      <c r="H3" s="44"/>
      <c r="I3" s="44"/>
      <c r="J3" s="44"/>
      <c r="K3" s="45"/>
      <c r="L3" s="1"/>
      <c r="M3" s="64" t="s">
        <v>24</v>
      </c>
      <c r="N3" s="65"/>
      <c r="O3" s="65"/>
      <c r="P3" s="65"/>
      <c r="Q3" s="65"/>
      <c r="R3" s="65"/>
      <c r="S3" s="65"/>
      <c r="T3" s="66">
        <v>1500.0</v>
      </c>
      <c r="Z3" s="67"/>
      <c r="AA3" s="1"/>
      <c r="AB3" s="50" t="s">
        <v>25</v>
      </c>
      <c r="AC3" s="51"/>
      <c r="AD3" s="51"/>
      <c r="AE3" s="51"/>
      <c r="AF3" s="51"/>
      <c r="AG3" s="51"/>
      <c r="AH3" s="51"/>
      <c r="AI3" s="52"/>
      <c r="AJ3" s="68">
        <v>100.0</v>
      </c>
      <c r="AK3" s="51"/>
      <c r="AL3" s="51"/>
      <c r="AM3" s="51"/>
      <c r="AN3" s="51"/>
      <c r="AO3" s="52"/>
      <c r="AP3" s="1"/>
      <c r="AQ3" s="69" t="s">
        <v>40</v>
      </c>
      <c r="AW3" s="70"/>
      <c r="AX3" s="71">
        <v>0.4</v>
      </c>
      <c r="BA3" s="70"/>
      <c r="BB3" s="72">
        <f>IFERROR(IF(AX3="","",
   AX3*($AJ$5*SUM(December!Dec_Income))),
"")</f>
        <v>521.212789</v>
      </c>
      <c r="BG3" s="70"/>
      <c r="BH3" s="71">
        <v>0.02</v>
      </c>
      <c r="BK3" s="70"/>
      <c r="BL3" s="73">
        <f>IF(BH3="","",
   IF(November!BX3="",0,
      November!BX3))</f>
        <v>4555.532511</v>
      </c>
      <c r="BQ3" s="70"/>
      <c r="BR3" s="72">
        <f t="shared" ref="BR3:BR9" si="1">IFERROR(
   IF(BB3="","",
      (BB3+BL3)*BH3)
,"")</f>
        <v>101.534906</v>
      </c>
      <c r="BW3" s="70"/>
      <c r="BX3" s="74">
        <f t="shared" ref="BX3:BX9" si="2">IFERROR(
   IF(BH3="","",
      ((BB3+BL3)+(BB3+BL3)*BH3)),
"")</f>
        <v>5178.280206</v>
      </c>
      <c r="CB3" s="75"/>
      <c r="CC3" s="1"/>
    </row>
    <row r="4" ht="14.25" customHeight="1">
      <c r="A4" s="1"/>
      <c r="B4" s="76"/>
      <c r="K4" s="77"/>
      <c r="L4" s="1"/>
      <c r="M4" s="64" t="s">
        <v>4</v>
      </c>
      <c r="N4" s="65"/>
      <c r="O4" s="65"/>
      <c r="P4" s="65"/>
      <c r="Q4" s="65"/>
      <c r="R4" s="65"/>
      <c r="S4" s="65"/>
      <c r="T4" s="66">
        <f>November!AQ22</f>
        <v>323.6427472</v>
      </c>
      <c r="Z4" s="67"/>
      <c r="AA4" s="1"/>
      <c r="AB4" s="1"/>
      <c r="AC4" s="1"/>
      <c r="AD4" s="1"/>
      <c r="AE4" s="1"/>
      <c r="AF4" s="1"/>
      <c r="AG4" s="1"/>
      <c r="AH4" s="1"/>
      <c r="AI4" s="1"/>
      <c r="AJ4" s="1"/>
      <c r="AK4" s="1"/>
      <c r="AL4" s="1"/>
      <c r="AM4" s="1"/>
      <c r="AN4" s="1"/>
      <c r="AO4" s="1"/>
      <c r="AP4" s="1"/>
      <c r="AQ4" s="69" t="s">
        <v>41</v>
      </c>
      <c r="AW4" s="70"/>
      <c r="AX4" s="71">
        <v>0.3</v>
      </c>
      <c r="BA4" s="70"/>
      <c r="BB4" s="72">
        <f>IFERROR(IF(AX4="","",
   AX4*($AJ$5*SUM(December!Dec_Income))),
"")</f>
        <v>390.9095917</v>
      </c>
      <c r="BG4" s="70"/>
      <c r="BH4" s="71">
        <v>0.015</v>
      </c>
      <c r="BK4" s="70"/>
      <c r="BL4" s="73">
        <f>IF(BH4="","",
   IF(November!BX4="",0,
      November!BX4))</f>
        <v>3335.764262</v>
      </c>
      <c r="BQ4" s="70"/>
      <c r="BR4" s="72">
        <f t="shared" si="1"/>
        <v>55.90010781</v>
      </c>
      <c r="BW4" s="70"/>
      <c r="BX4" s="74">
        <f t="shared" si="2"/>
        <v>3782.573962</v>
      </c>
      <c r="CB4" s="75"/>
      <c r="CC4" s="1"/>
    </row>
    <row r="5" ht="15.0" customHeight="1">
      <c r="A5" s="1"/>
      <c r="B5" s="76"/>
      <c r="K5" s="77"/>
      <c r="L5" s="1"/>
      <c r="M5" s="64" t="s">
        <v>8</v>
      </c>
      <c r="N5" s="65"/>
      <c r="O5" s="65"/>
      <c r="P5" s="65"/>
      <c r="Q5" s="65"/>
      <c r="R5" s="65"/>
      <c r="S5" s="65"/>
      <c r="T5" s="66">
        <f>November!AQ16</f>
        <v>181.0218258</v>
      </c>
      <c r="Z5" s="67"/>
      <c r="AA5" s="1"/>
      <c r="AB5" s="78" t="s">
        <v>26</v>
      </c>
      <c r="AC5" s="59"/>
      <c r="AD5" s="59"/>
      <c r="AE5" s="59"/>
      <c r="AF5" s="59"/>
      <c r="AG5" s="59"/>
      <c r="AH5" s="59"/>
      <c r="AI5" s="5"/>
      <c r="AJ5" s="79">
        <v>0.65</v>
      </c>
      <c r="AK5" s="59"/>
      <c r="AL5" s="59"/>
      <c r="AM5" s="59"/>
      <c r="AN5" s="59"/>
      <c r="AO5" s="5"/>
      <c r="AP5" s="1"/>
      <c r="AQ5" s="69" t="s">
        <v>42</v>
      </c>
      <c r="AW5" s="70"/>
      <c r="AX5" s="71">
        <v>0.3</v>
      </c>
      <c r="BA5" s="70"/>
      <c r="BB5" s="72">
        <f>IFERROR(IF(AX5="","",
   AX5*($AJ$5*SUM(December!Dec_Income))),
"")</f>
        <v>390.9095917</v>
      </c>
      <c r="BG5" s="70"/>
      <c r="BH5" s="71">
        <v>0.013</v>
      </c>
      <c r="BK5" s="70"/>
      <c r="BL5" s="73">
        <f>IF(BH5="","",
   IF(November!BX5="",0,
      November!BX5))</f>
        <v>3303.989121</v>
      </c>
      <c r="BQ5" s="70"/>
      <c r="BR5" s="72">
        <f t="shared" si="1"/>
        <v>48.03368326</v>
      </c>
      <c r="BW5" s="70"/>
      <c r="BX5" s="74">
        <f t="shared" si="2"/>
        <v>3742.932396</v>
      </c>
      <c r="CB5" s="75"/>
      <c r="CC5" s="1"/>
    </row>
    <row r="6" ht="15.0" customHeight="1">
      <c r="A6" s="1"/>
      <c r="B6" s="76"/>
      <c r="K6" s="77"/>
      <c r="L6" s="1"/>
      <c r="M6" s="64" t="s">
        <v>9</v>
      </c>
      <c r="N6" s="65"/>
      <c r="O6" s="65"/>
      <c r="P6" s="65"/>
      <c r="Q6" s="65"/>
      <c r="R6" s="65"/>
      <c r="S6" s="65"/>
      <c r="T6" s="66"/>
      <c r="Z6" s="67"/>
      <c r="AA6" s="1"/>
      <c r="AB6" s="69" t="s">
        <v>27</v>
      </c>
      <c r="AI6" s="75"/>
      <c r="AJ6" s="71">
        <f>IF(IFERROR(ROUND(SUM(December!Dec_Liabilities)/SUM(December!Dec_Income),2),"")=0,"",
   ROUND(SUM(December!Dec_Liabilities)/SUM(December!Dec_Income),2))</f>
        <v>0.11</v>
      </c>
      <c r="AO6" s="75"/>
      <c r="AP6" s="1"/>
      <c r="AQ6" s="69"/>
      <c r="AW6" s="70"/>
      <c r="AX6" s="71"/>
      <c r="BA6" s="70"/>
      <c r="BB6" s="72" t="str">
        <f>IFERROR(IF(AX6="","",
   AX6*($AJ$5*SUM(December!Dec_Income))),
"")</f>
        <v/>
      </c>
      <c r="BG6" s="70"/>
      <c r="BH6" s="71"/>
      <c r="BK6" s="70"/>
      <c r="BL6" s="73" t="str">
        <f>IF(BH6="","",
   IF(November!BX6="",0,
      November!BX6))</f>
        <v/>
      </c>
      <c r="BQ6" s="70"/>
      <c r="BR6" s="72" t="str">
        <f t="shared" si="1"/>
        <v/>
      </c>
      <c r="BW6" s="70"/>
      <c r="BX6" s="74" t="str">
        <f t="shared" si="2"/>
        <v/>
      </c>
      <c r="CB6" s="75"/>
      <c r="CC6" s="1"/>
    </row>
    <row r="7" ht="15.0" customHeight="1">
      <c r="A7" s="1"/>
      <c r="B7" s="76"/>
      <c r="K7" s="77"/>
      <c r="L7" s="1"/>
      <c r="M7" s="64"/>
      <c r="N7" s="65"/>
      <c r="O7" s="65"/>
      <c r="P7" s="65"/>
      <c r="Q7" s="65"/>
      <c r="R7" s="65"/>
      <c r="S7" s="65"/>
      <c r="T7" s="66"/>
      <c r="Z7" s="67"/>
      <c r="AA7" s="1"/>
      <c r="AB7" s="80" t="str">
        <f>IF($AJ$6&gt;54%,"Spend less and invest more, stop burning money. ",
   IF($AJ$6&gt;39%,"High for expenses, reduce it for a better life. ",
      IF($AJ$6&gt;29%,"Managable expenses, at least... ",
         "Doing great, keep it up! " )))
&amp;
IF(AK2=TRUE,"Ok, no investments, send money only to your emergencial reserve",
   IF(AJ5=0,"And start investing",
      (AJ5*100)&amp;"% invested means "&amp;DOLLAR(AJ5*(SUM(December!Dec_Income)))&amp;". "
         &amp;IF(AJ5&gt;55%,"Its an excellent value!",
            IF(AJ5&gt;39%,"Its a great percentage!",
               IF(AJ5&gt;19%,"It´s a good value!",
                 "Increase your $ invested")))))</f>
        <v>Doing great, keep it up! 65% invested means $1.303,03. Its an excellent value!</v>
      </c>
      <c r="AC7" s="59"/>
      <c r="AD7" s="59"/>
      <c r="AE7" s="59"/>
      <c r="AF7" s="59"/>
      <c r="AG7" s="59"/>
      <c r="AH7" s="59"/>
      <c r="AI7" s="59"/>
      <c r="AJ7" s="59"/>
      <c r="AK7" s="59"/>
      <c r="AL7" s="59"/>
      <c r="AM7" s="59"/>
      <c r="AN7" s="59"/>
      <c r="AO7" s="5"/>
      <c r="AP7" s="1"/>
      <c r="AQ7" s="69"/>
      <c r="AW7" s="70"/>
      <c r="AX7" s="71"/>
      <c r="BA7" s="70"/>
      <c r="BB7" s="72" t="str">
        <f>IFERROR(IF(AX7="","",
   AX7*($AJ$5*SUM(December!Dec_Income))),
"")</f>
        <v/>
      </c>
      <c r="BG7" s="70"/>
      <c r="BH7" s="71"/>
      <c r="BK7" s="70"/>
      <c r="BL7" s="73" t="str">
        <f>IF(BH7="","",
   IF(November!BX7="",0,
      November!BX7))</f>
        <v/>
      </c>
      <c r="BQ7" s="70"/>
      <c r="BR7" s="72" t="str">
        <f t="shared" si="1"/>
        <v/>
      </c>
      <c r="BW7" s="70"/>
      <c r="BX7" s="74" t="str">
        <f t="shared" si="2"/>
        <v/>
      </c>
      <c r="CB7" s="75"/>
      <c r="CC7" s="1"/>
    </row>
    <row r="8" ht="15.0" customHeight="1">
      <c r="A8" s="1"/>
      <c r="B8" s="76"/>
      <c r="K8" s="77"/>
      <c r="L8" s="1"/>
      <c r="M8" s="64"/>
      <c r="N8" s="65"/>
      <c r="O8" s="65"/>
      <c r="P8" s="65"/>
      <c r="Q8" s="65"/>
      <c r="R8" s="65"/>
      <c r="S8" s="65"/>
      <c r="T8" s="66"/>
      <c r="Z8" s="67"/>
      <c r="AA8" s="1"/>
      <c r="AB8" s="81"/>
      <c r="AO8" s="75"/>
      <c r="AP8" s="1"/>
      <c r="AQ8" s="69"/>
      <c r="AW8" s="70"/>
      <c r="AX8" s="71"/>
      <c r="BA8" s="70"/>
      <c r="BB8" s="72" t="str">
        <f>IFERROR(IF(AX8="","",
   AX8*($AJ$5*SUM(December!Dec_Income))),
"")</f>
        <v/>
      </c>
      <c r="BG8" s="70"/>
      <c r="BH8" s="71"/>
      <c r="BK8" s="70"/>
      <c r="BL8" s="73" t="str">
        <f>IF(BH8="","",
   IF(November!BX8="",0,
      November!BX8))</f>
        <v/>
      </c>
      <c r="BQ8" s="70"/>
      <c r="BR8" s="72" t="str">
        <f t="shared" si="1"/>
        <v/>
      </c>
      <c r="BW8" s="70"/>
      <c r="BX8" s="74" t="str">
        <f t="shared" si="2"/>
        <v/>
      </c>
      <c r="CB8" s="75"/>
      <c r="CC8" s="1"/>
    </row>
    <row r="9" ht="14.25" customHeight="1">
      <c r="A9" s="1"/>
      <c r="B9" s="76"/>
      <c r="K9" s="77"/>
      <c r="L9" s="1"/>
      <c r="M9" s="64"/>
      <c r="N9" s="65"/>
      <c r="O9" s="65"/>
      <c r="P9" s="65"/>
      <c r="Q9" s="65"/>
      <c r="R9" s="65"/>
      <c r="S9" s="65"/>
      <c r="T9" s="66"/>
      <c r="Z9" s="67"/>
      <c r="AA9" s="1"/>
      <c r="AB9" s="81"/>
      <c r="AO9" s="75"/>
      <c r="AP9" s="1"/>
      <c r="AQ9" s="69"/>
      <c r="AW9" s="70"/>
      <c r="AX9" s="71"/>
      <c r="BA9" s="70"/>
      <c r="BB9" s="72" t="str">
        <f>IFERROR(IF(AX9="","",
   AX9*($AJ$5*SUM(December!Dec_Income))),
"")</f>
        <v/>
      </c>
      <c r="BG9" s="70"/>
      <c r="BH9" s="71"/>
      <c r="BK9" s="70"/>
      <c r="BL9" s="73" t="str">
        <f>IF(BH9="","",
   IF(November!BX9="",0,
      November!BX9))</f>
        <v/>
      </c>
      <c r="BQ9" s="70"/>
      <c r="BR9" s="72" t="str">
        <f t="shared" si="1"/>
        <v/>
      </c>
      <c r="BW9" s="70"/>
      <c r="BX9" s="74" t="str">
        <f t="shared" si="2"/>
        <v/>
      </c>
      <c r="CB9" s="75"/>
      <c r="CC9" s="1"/>
    </row>
    <row r="10" ht="14.25" customHeight="1">
      <c r="A10" s="1"/>
      <c r="B10" s="76"/>
      <c r="K10" s="77"/>
      <c r="L10" s="1"/>
      <c r="M10" s="64"/>
      <c r="N10" s="65"/>
      <c r="O10" s="65"/>
      <c r="P10" s="65"/>
      <c r="Q10" s="65"/>
      <c r="R10" s="65"/>
      <c r="S10" s="65"/>
      <c r="T10" s="66"/>
      <c r="Z10" s="67"/>
      <c r="AA10" s="1"/>
      <c r="AB10" s="10"/>
      <c r="AC10" s="82"/>
      <c r="AD10" s="82"/>
      <c r="AE10" s="82"/>
      <c r="AF10" s="82"/>
      <c r="AG10" s="82"/>
      <c r="AH10" s="82"/>
      <c r="AI10" s="82"/>
      <c r="AJ10" s="82"/>
      <c r="AK10" s="82"/>
      <c r="AL10" s="82"/>
      <c r="AM10" s="82"/>
      <c r="AN10" s="82"/>
      <c r="AO10" s="11"/>
      <c r="AP10" s="1"/>
      <c r="AQ10" s="83" t="str">
        <f>IF(AK2=TRUE,"Save for 4 up to 6 months, mate",
   IF(AJ5=0,"Start Investing",
      IF(COUNTIF(AQ3:AQ9,"*")=1,"Diversify your investments",
         IF(SUM(AX3:AX9)&gt;1,"|% Inv| should total 100%, minimize % invested",
            IF(COUNTIF(AQ3:AQ9,"*")&gt;3,"Money for nothing, chicks for free. Keep it up",
               IF(COUNTIF(AQ3:AQ9,"*")&gt;2,"Nice, but diversify more",
                  "You separated money for investments, write them here"))))))</f>
        <v>Nice, but diversify more</v>
      </c>
      <c r="AR10" s="51"/>
      <c r="AS10" s="51"/>
      <c r="AT10" s="51"/>
      <c r="AU10" s="51"/>
      <c r="AV10" s="51"/>
      <c r="AW10" s="51"/>
      <c r="AX10" s="51"/>
      <c r="AY10" s="51"/>
      <c r="AZ10" s="51"/>
      <c r="BA10" s="51"/>
      <c r="BB10" s="51"/>
      <c r="BC10" s="51"/>
      <c r="BD10" s="51"/>
      <c r="BE10" s="51"/>
      <c r="BF10" s="51"/>
      <c r="BG10" s="51"/>
      <c r="BH10" s="51"/>
      <c r="BI10" s="51"/>
      <c r="BJ10" s="51"/>
      <c r="BK10" s="51"/>
      <c r="BL10" s="51"/>
      <c r="BM10" s="51"/>
      <c r="BN10" s="51"/>
      <c r="BO10" s="51"/>
      <c r="BP10" s="51"/>
      <c r="BQ10" s="51"/>
      <c r="BR10" s="51"/>
      <c r="BS10" s="51"/>
      <c r="BT10" s="51"/>
      <c r="BU10" s="51"/>
      <c r="BV10" s="51"/>
      <c r="BW10" s="51"/>
      <c r="BX10" s="51"/>
      <c r="BY10" s="51"/>
      <c r="BZ10" s="51"/>
      <c r="CA10" s="51"/>
      <c r="CB10" s="52"/>
      <c r="CC10" s="1"/>
    </row>
    <row r="11" ht="15.0" customHeight="1">
      <c r="A11" s="1"/>
      <c r="B11" s="76"/>
      <c r="K11" s="77"/>
      <c r="L11" s="1"/>
      <c r="M11" s="84" t="s">
        <v>28</v>
      </c>
      <c r="T11" s="66">
        <f>AJ3+November!T11</f>
        <v>2000</v>
      </c>
      <c r="Z11" s="67"/>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c r="BJ11" s="1"/>
      <c r="BK11" s="1"/>
      <c r="BL11" s="1"/>
      <c r="BM11" s="1"/>
      <c r="BN11" s="1"/>
      <c r="BO11" s="1"/>
      <c r="BP11" s="1"/>
      <c r="BQ11" s="1"/>
      <c r="BR11" s="1"/>
      <c r="BS11" s="1"/>
      <c r="BT11" s="1"/>
      <c r="BU11" s="1"/>
      <c r="BV11" s="1"/>
      <c r="BW11" s="1"/>
      <c r="BX11" s="1"/>
      <c r="BY11" s="1"/>
      <c r="BZ11" s="1"/>
      <c r="CA11" s="1"/>
      <c r="CB11" s="1"/>
      <c r="CC11" s="1"/>
    </row>
    <row r="12" ht="14.25" customHeight="1">
      <c r="A12" s="1"/>
      <c r="B12" s="76"/>
      <c r="K12" s="77"/>
      <c r="L12" s="1"/>
      <c r="M12" s="85" t="s">
        <v>29</v>
      </c>
      <c r="N12" s="86"/>
      <c r="O12" s="86"/>
      <c r="P12" s="86"/>
      <c r="Q12" s="86"/>
      <c r="R12" s="86"/>
      <c r="S12" s="87"/>
      <c r="T12" s="88" t="s">
        <v>15</v>
      </c>
      <c r="U12" s="89"/>
      <c r="V12" s="89"/>
      <c r="W12" s="89"/>
      <c r="X12" s="89"/>
      <c r="Y12" s="89"/>
      <c r="Z12" s="90"/>
      <c r="AA12" s="1"/>
      <c r="AB12" s="57" t="s">
        <v>30</v>
      </c>
      <c r="AC12" s="51"/>
      <c r="AD12" s="51"/>
      <c r="AE12" s="51"/>
      <c r="AF12" s="51"/>
      <c r="AG12" s="51"/>
      <c r="AH12" s="51"/>
      <c r="AI12" s="52"/>
      <c r="AJ12" s="4" t="s">
        <v>15</v>
      </c>
      <c r="AK12" s="59"/>
      <c r="AL12" s="59"/>
      <c r="AM12" s="59"/>
      <c r="AN12" s="59"/>
      <c r="AO12" s="5"/>
      <c r="AP12" s="1"/>
      <c r="AQ12" s="14" t="s">
        <v>31</v>
      </c>
      <c r="AR12" s="15"/>
      <c r="AS12" s="15"/>
      <c r="AT12" s="15"/>
      <c r="AU12" s="15"/>
      <c r="AV12" s="15"/>
      <c r="AW12" s="16"/>
      <c r="AX12" s="1"/>
      <c r="AY12" s="91" t="s">
        <v>32</v>
      </c>
      <c r="AZ12" s="15"/>
      <c r="BA12" s="15"/>
      <c r="BB12" s="15"/>
      <c r="BC12" s="15"/>
      <c r="BD12" s="15"/>
      <c r="BE12" s="16"/>
      <c r="BF12" s="1"/>
      <c r="BG12" s="1"/>
      <c r="BH12" s="1"/>
      <c r="BI12" s="1"/>
      <c r="BJ12" s="1"/>
      <c r="BK12" s="1"/>
      <c r="BL12" s="1"/>
      <c r="BM12" s="1"/>
      <c r="BN12" s="1"/>
      <c r="BO12" s="1"/>
      <c r="BP12" s="1"/>
      <c r="BQ12" s="1"/>
      <c r="BR12" s="1"/>
      <c r="BS12" s="1"/>
      <c r="BT12" s="1"/>
      <c r="BU12" s="1"/>
      <c r="BV12" s="1"/>
      <c r="BW12" s="1"/>
      <c r="BX12" s="1"/>
      <c r="BY12" s="1"/>
      <c r="BZ12" s="1"/>
      <c r="CA12" s="1"/>
      <c r="CB12" s="1"/>
      <c r="CC12" s="1"/>
    </row>
    <row r="13" ht="14.25" customHeight="1">
      <c r="A13" s="1"/>
      <c r="B13" s="76"/>
      <c r="K13" s="77"/>
      <c r="L13" s="1"/>
      <c r="M13" s="93" t="s">
        <v>6</v>
      </c>
      <c r="N13" s="65"/>
      <c r="O13" s="65"/>
      <c r="P13" s="65"/>
      <c r="Q13" s="65"/>
      <c r="R13" s="65"/>
      <c r="S13" s="94"/>
      <c r="T13" s="95">
        <v>100.0</v>
      </c>
      <c r="Z13" s="96"/>
      <c r="AA13" s="1"/>
      <c r="AB13" s="97" t="s">
        <v>34</v>
      </c>
      <c r="AC13" s="65"/>
      <c r="AD13" s="65"/>
      <c r="AE13" s="65"/>
      <c r="AF13" s="65"/>
      <c r="AG13" s="65"/>
      <c r="AH13" s="65"/>
      <c r="AI13" s="98"/>
      <c r="AJ13" s="99">
        <v>50.0</v>
      </c>
      <c r="AO13" s="75"/>
      <c r="AP13" s="1"/>
      <c r="AQ13" s="36">
        <f>SUM(December!Dec_Amo_Invested)-(V1*SUM(December!Dec_Income))</f>
        <v>1303.031972</v>
      </c>
      <c r="AR13" s="24"/>
      <c r="AS13" s="24"/>
      <c r="AT13" s="24"/>
      <c r="AU13" s="24"/>
      <c r="AV13" s="24"/>
      <c r="AW13" s="25"/>
      <c r="AX13" s="1"/>
      <c r="AY13" s="100"/>
      <c r="BE13" s="34"/>
      <c r="BF13" s="1"/>
      <c r="BG13" s="1"/>
      <c r="BH13" s="1"/>
      <c r="BI13" s="1"/>
      <c r="BJ13" s="1"/>
      <c r="BK13" s="1"/>
      <c r="BL13" s="1"/>
      <c r="BM13" s="1"/>
      <c r="BN13" s="1"/>
      <c r="BO13" s="1"/>
      <c r="BP13" s="1"/>
      <c r="BQ13" s="1"/>
      <c r="BR13" s="1"/>
      <c r="BS13" s="1"/>
      <c r="BT13" s="1"/>
      <c r="BU13" s="1"/>
      <c r="BV13" s="1"/>
      <c r="BW13" s="1"/>
      <c r="BX13" s="1"/>
      <c r="BY13" s="1"/>
      <c r="BZ13" s="1"/>
      <c r="CA13" s="1"/>
      <c r="CB13" s="1"/>
      <c r="CC13" s="1"/>
    </row>
    <row r="14" ht="15.0" customHeight="1">
      <c r="A14" s="1"/>
      <c r="B14" s="76"/>
      <c r="K14" s="77"/>
      <c r="L14" s="1"/>
      <c r="M14" s="93" t="s">
        <v>36</v>
      </c>
      <c r="N14" s="65"/>
      <c r="O14" s="65"/>
      <c r="P14" s="65"/>
      <c r="Q14" s="65"/>
      <c r="R14" s="65"/>
      <c r="S14" s="94"/>
      <c r="T14" s="95">
        <v>100.0</v>
      </c>
      <c r="Z14" s="96"/>
      <c r="AA14" s="1"/>
      <c r="AB14" s="97"/>
      <c r="AC14" s="65"/>
      <c r="AD14" s="65"/>
      <c r="AE14" s="65"/>
      <c r="AF14" s="65"/>
      <c r="AG14" s="65"/>
      <c r="AH14" s="65"/>
      <c r="AI14" s="98"/>
      <c r="AJ14" s="99"/>
      <c r="AO14" s="75"/>
      <c r="AP14" s="1"/>
      <c r="AQ14" s="1"/>
      <c r="AR14" s="1"/>
      <c r="AS14" s="1"/>
      <c r="AT14" s="1"/>
      <c r="AU14" s="1"/>
      <c r="AV14" s="1"/>
      <c r="AW14" s="1"/>
      <c r="AX14" s="1"/>
      <c r="AY14" s="100"/>
      <c r="BE14" s="34"/>
      <c r="BF14" s="1"/>
      <c r="BG14" s="1"/>
      <c r="BH14" s="1"/>
      <c r="BI14" s="1"/>
      <c r="BJ14" s="1"/>
      <c r="BK14" s="1"/>
      <c r="BL14" s="1"/>
      <c r="BM14" s="1"/>
      <c r="BN14" s="1"/>
      <c r="BO14" s="1"/>
      <c r="BP14" s="1"/>
      <c r="BQ14" s="1"/>
      <c r="BR14" s="1"/>
      <c r="BS14" s="1"/>
      <c r="BT14" s="1"/>
      <c r="BU14" s="1"/>
      <c r="BV14" s="1"/>
      <c r="BW14" s="1"/>
      <c r="BX14" s="1"/>
      <c r="BY14" s="1"/>
      <c r="BZ14" s="1"/>
      <c r="CA14" s="1"/>
      <c r="CB14" s="1"/>
      <c r="CC14" s="1"/>
    </row>
    <row r="15" ht="14.25" customHeight="1">
      <c r="A15" s="1"/>
      <c r="B15" s="76"/>
      <c r="K15" s="77"/>
      <c r="L15" s="1"/>
      <c r="M15" s="93" t="s">
        <v>2</v>
      </c>
      <c r="N15" s="65"/>
      <c r="O15" s="65"/>
      <c r="P15" s="65"/>
      <c r="Q15" s="65"/>
      <c r="R15" s="65"/>
      <c r="S15" s="94"/>
      <c r="T15" s="95">
        <v>14.0</v>
      </c>
      <c r="Z15" s="96"/>
      <c r="AA15" s="1"/>
      <c r="AB15" s="97"/>
      <c r="AC15" s="65"/>
      <c r="AD15" s="65"/>
      <c r="AE15" s="65"/>
      <c r="AF15" s="65"/>
      <c r="AG15" s="65"/>
      <c r="AH15" s="65"/>
      <c r="AI15" s="98"/>
      <c r="AJ15" s="99"/>
      <c r="AO15" s="75"/>
      <c r="AP15" s="1"/>
      <c r="AQ15" s="101" t="s">
        <v>37</v>
      </c>
      <c r="AR15" s="15"/>
      <c r="AS15" s="15"/>
      <c r="AT15" s="15"/>
      <c r="AU15" s="15"/>
      <c r="AV15" s="15"/>
      <c r="AW15" s="16"/>
      <c r="AX15" s="1"/>
      <c r="AY15" s="36">
        <f>AQ16-August!AQ16</f>
        <v>93.40145334</v>
      </c>
      <c r="AZ15" s="24"/>
      <c r="BA15" s="24"/>
      <c r="BB15" s="24"/>
      <c r="BC15" s="24"/>
      <c r="BD15" s="24"/>
      <c r="BE15" s="25"/>
      <c r="BF15" s="1"/>
      <c r="BG15" s="1"/>
      <c r="BH15" s="1"/>
      <c r="BI15" s="1"/>
      <c r="BJ15" s="1"/>
      <c r="BK15" s="1"/>
      <c r="BL15" s="1"/>
      <c r="BM15" s="1"/>
      <c r="BN15" s="1"/>
      <c r="BO15" s="1"/>
      <c r="BP15" s="1"/>
      <c r="BQ15" s="1"/>
      <c r="BR15" s="1"/>
      <c r="BS15" s="1"/>
      <c r="BT15" s="1"/>
      <c r="BU15" s="1"/>
      <c r="BV15" s="1"/>
      <c r="BW15" s="1"/>
      <c r="BX15" s="1"/>
      <c r="BY15" s="1"/>
      <c r="BZ15" s="1"/>
      <c r="CA15" s="1"/>
      <c r="CB15" s="1"/>
      <c r="CC15" s="1"/>
    </row>
    <row r="16" ht="14.25" customHeight="1">
      <c r="A16" s="1"/>
      <c r="B16" s="76"/>
      <c r="K16" s="77"/>
      <c r="L16" s="1"/>
      <c r="M16" s="93"/>
      <c r="N16" s="65"/>
      <c r="O16" s="65"/>
      <c r="P16" s="65"/>
      <c r="Q16" s="65"/>
      <c r="R16" s="65"/>
      <c r="S16" s="94"/>
      <c r="T16" s="95"/>
      <c r="Z16" s="96"/>
      <c r="AA16" s="1"/>
      <c r="AB16" s="97"/>
      <c r="AC16" s="65"/>
      <c r="AD16" s="65"/>
      <c r="AE16" s="65"/>
      <c r="AF16" s="65"/>
      <c r="AG16" s="65"/>
      <c r="AH16" s="65"/>
      <c r="AI16" s="98"/>
      <c r="AJ16" s="99"/>
      <c r="AO16" s="75"/>
      <c r="AP16" s="1"/>
      <c r="AQ16" s="36">
        <f>SUM(BR3:BW9)</f>
        <v>205.4686971</v>
      </c>
      <c r="AR16" s="24"/>
      <c r="AS16" s="24"/>
      <c r="AT16" s="24"/>
      <c r="AU16" s="24"/>
      <c r="AV16" s="24"/>
      <c r="AW16" s="25"/>
      <c r="AX16" s="1"/>
      <c r="AY16" s="102">
        <f>Database!J13</f>
        <v>0.01135049302</v>
      </c>
      <c r="AZ16" s="24"/>
      <c r="BA16" s="24"/>
      <c r="BB16" s="24"/>
      <c r="BC16" s="24"/>
      <c r="BD16" s="24"/>
      <c r="BE16" s="25"/>
      <c r="BF16" s="1"/>
      <c r="BG16" s="1"/>
      <c r="BH16" s="1"/>
      <c r="BI16" s="1"/>
      <c r="BJ16" s="1"/>
      <c r="BK16" s="1"/>
      <c r="BL16" s="1"/>
      <c r="BM16" s="1"/>
      <c r="BN16" s="1"/>
      <c r="BO16" s="1"/>
      <c r="BP16" s="1"/>
      <c r="BQ16" s="1"/>
      <c r="BR16" s="1"/>
      <c r="BS16" s="1"/>
      <c r="BT16" s="1"/>
      <c r="BU16" s="1"/>
      <c r="BV16" s="1"/>
      <c r="BW16" s="1"/>
      <c r="BX16" s="1"/>
      <c r="BY16" s="1"/>
      <c r="BZ16" s="1"/>
      <c r="CA16" s="1"/>
      <c r="CB16" s="1"/>
      <c r="CC16" s="1"/>
    </row>
    <row r="17" ht="15.0" customHeight="1">
      <c r="A17" s="1"/>
      <c r="B17" s="76"/>
      <c r="K17" s="77"/>
      <c r="L17" s="1"/>
      <c r="M17" s="93"/>
      <c r="N17" s="65"/>
      <c r="O17" s="65"/>
      <c r="P17" s="65"/>
      <c r="Q17" s="65"/>
      <c r="R17" s="65"/>
      <c r="S17" s="94"/>
      <c r="T17" s="95"/>
      <c r="Z17" s="96"/>
      <c r="AA17" s="1"/>
      <c r="AB17" s="97"/>
      <c r="AC17" s="65"/>
      <c r="AD17" s="65"/>
      <c r="AE17" s="65"/>
      <c r="AF17" s="65"/>
      <c r="AG17" s="65"/>
      <c r="AH17" s="65"/>
      <c r="AI17" s="98"/>
      <c r="AJ17" s="99"/>
      <c r="AO17" s="75"/>
      <c r="AP17" s="1"/>
      <c r="AQ17" s="1"/>
      <c r="AR17" s="1"/>
      <c r="AS17" s="1"/>
      <c r="AT17" s="1"/>
      <c r="AU17" s="1"/>
      <c r="AV17" s="1"/>
      <c r="AW17" s="1"/>
      <c r="AX17" s="1"/>
      <c r="AY17" s="1"/>
      <c r="AZ17" s="1"/>
      <c r="BA17" s="1"/>
      <c r="BB17" s="1"/>
      <c r="BC17" s="1"/>
      <c r="BD17" s="1"/>
      <c r="BE17" s="1"/>
      <c r="BF17" s="1"/>
      <c r="BG17" s="1"/>
      <c r="BH17" s="1"/>
      <c r="BI17" s="1"/>
      <c r="BJ17" s="1"/>
      <c r="BK17" s="1"/>
      <c r="BL17" s="1"/>
      <c r="BM17" s="1"/>
      <c r="BN17" s="1"/>
      <c r="BO17" s="1"/>
      <c r="BP17" s="1"/>
      <c r="BQ17" s="1"/>
      <c r="BR17" s="1"/>
      <c r="BS17" s="1"/>
      <c r="BT17" s="1"/>
      <c r="BU17" s="1"/>
      <c r="BV17" s="1"/>
      <c r="BW17" s="1"/>
      <c r="BX17" s="1"/>
      <c r="BY17" s="1"/>
      <c r="BZ17" s="1"/>
      <c r="CA17" s="1"/>
      <c r="CB17" s="1"/>
      <c r="CC17" s="1"/>
    </row>
    <row r="18" ht="14.25" customHeight="1">
      <c r="A18" s="1"/>
      <c r="B18" s="76"/>
      <c r="K18" s="77"/>
      <c r="L18" s="1"/>
      <c r="M18" s="93"/>
      <c r="N18" s="65"/>
      <c r="O18" s="65"/>
      <c r="P18" s="65"/>
      <c r="Q18" s="65"/>
      <c r="R18" s="65"/>
      <c r="S18" s="94"/>
      <c r="T18" s="95"/>
      <c r="Z18" s="96"/>
      <c r="AA18" s="1"/>
      <c r="AB18" s="97"/>
      <c r="AC18" s="65"/>
      <c r="AD18" s="65"/>
      <c r="AE18" s="65"/>
      <c r="AF18" s="65"/>
      <c r="AG18" s="65"/>
      <c r="AH18" s="65"/>
      <c r="AI18" s="98"/>
      <c r="AJ18" s="99"/>
      <c r="AO18" s="75"/>
      <c r="AP18" s="1"/>
      <c r="AQ18" s="14" t="s">
        <v>10</v>
      </c>
      <c r="AR18" s="15"/>
      <c r="AS18" s="15"/>
      <c r="AT18" s="15"/>
      <c r="AU18" s="15"/>
      <c r="AV18" s="15"/>
      <c r="AW18" s="16"/>
      <c r="AX18" s="1"/>
      <c r="AY18" s="1"/>
      <c r="AZ18" s="1"/>
      <c r="BA18" s="1"/>
      <c r="BB18" s="1"/>
      <c r="BC18" s="1"/>
      <c r="BD18" s="1"/>
      <c r="BE18" s="1"/>
      <c r="BF18" s="1"/>
      <c r="BG18" s="1"/>
      <c r="BH18" s="1"/>
      <c r="BI18" s="1"/>
      <c r="BJ18" s="1"/>
      <c r="BK18" s="1"/>
      <c r="BL18" s="1"/>
      <c r="BM18" s="1"/>
      <c r="BN18" s="1"/>
      <c r="BO18" s="1"/>
      <c r="BP18" s="1"/>
      <c r="BQ18" s="1"/>
      <c r="BR18" s="1"/>
      <c r="BS18" s="1"/>
      <c r="BT18" s="1"/>
      <c r="BU18" s="1"/>
      <c r="BV18" s="1"/>
      <c r="BW18" s="1"/>
      <c r="BX18" s="1"/>
      <c r="BY18" s="1"/>
      <c r="BZ18" s="1"/>
      <c r="CA18" s="1"/>
      <c r="CB18" s="1"/>
      <c r="CC18" s="1"/>
    </row>
    <row r="19" ht="15.0" customHeight="1">
      <c r="A19" s="1"/>
      <c r="B19" s="76"/>
      <c r="K19" s="77"/>
      <c r="L19" s="1"/>
      <c r="M19" s="93"/>
      <c r="N19" s="65"/>
      <c r="O19" s="65"/>
      <c r="P19" s="65"/>
      <c r="Q19" s="65"/>
      <c r="R19" s="65"/>
      <c r="S19" s="94"/>
      <c r="T19" s="95"/>
      <c r="Z19" s="96"/>
      <c r="AA19" s="1"/>
      <c r="AB19" s="97"/>
      <c r="AC19" s="65"/>
      <c r="AD19" s="65"/>
      <c r="AE19" s="65"/>
      <c r="AF19" s="65"/>
      <c r="AG19" s="65"/>
      <c r="AH19" s="65"/>
      <c r="AI19" s="98"/>
      <c r="AJ19" s="99"/>
      <c r="AO19" s="75"/>
      <c r="AP19" s="1"/>
      <c r="AQ19" s="36">
        <f>SUM(December!Dec_Total_Invested)</f>
        <v>12703.78656</v>
      </c>
      <c r="AR19" s="24"/>
      <c r="AS19" s="24"/>
      <c r="AT19" s="24"/>
      <c r="AU19" s="24"/>
      <c r="AV19" s="24"/>
      <c r="AW19" s="25"/>
      <c r="AX19" s="1"/>
      <c r="AY19" s="1"/>
      <c r="AZ19" s="1"/>
      <c r="BA19" s="1"/>
      <c r="BB19" s="1"/>
      <c r="BC19" s="1"/>
      <c r="BD19" s="1"/>
      <c r="BE19" s="1"/>
      <c r="BF19" s="1"/>
      <c r="BG19" s="1"/>
      <c r="BH19" s="1"/>
      <c r="BI19" s="1"/>
      <c r="BJ19" s="1"/>
      <c r="BK19" s="1"/>
      <c r="BL19" s="1"/>
      <c r="BM19" s="1"/>
      <c r="BN19" s="1"/>
      <c r="BO19" s="1"/>
      <c r="BP19" s="1"/>
      <c r="BQ19" s="1"/>
      <c r="BR19" s="1"/>
      <c r="BS19" s="1"/>
      <c r="BT19" s="1"/>
      <c r="BU19" s="1"/>
      <c r="BV19" s="1"/>
      <c r="BW19" s="1"/>
      <c r="BX19" s="1"/>
      <c r="BY19" s="1"/>
      <c r="BZ19" s="1"/>
      <c r="CA19" s="1"/>
      <c r="CB19" s="1"/>
      <c r="CC19" s="1"/>
    </row>
    <row r="20" ht="14.25" customHeight="1">
      <c r="A20" s="1"/>
      <c r="B20" s="76"/>
      <c r="K20" s="77"/>
      <c r="L20" s="1"/>
      <c r="M20" s="93"/>
      <c r="N20" s="65"/>
      <c r="O20" s="65"/>
      <c r="P20" s="65"/>
      <c r="Q20" s="65"/>
      <c r="R20" s="65"/>
      <c r="S20" s="94"/>
      <c r="T20" s="95"/>
      <c r="Z20" s="96"/>
      <c r="AA20" s="1"/>
      <c r="AB20" s="69"/>
      <c r="AI20" s="75"/>
      <c r="AJ20" s="99"/>
      <c r="AO20" s="75"/>
      <c r="AP20" s="1"/>
      <c r="AQ20" s="1"/>
      <c r="AR20" s="1"/>
      <c r="AS20" s="1"/>
      <c r="AT20" s="1"/>
      <c r="AU20" s="1"/>
      <c r="AV20" s="1"/>
      <c r="AW20" s="1"/>
      <c r="AX20" s="1"/>
      <c r="AY20" s="1"/>
      <c r="AZ20" s="1"/>
      <c r="BA20" s="1"/>
      <c r="BB20" s="1"/>
      <c r="BC20" s="1"/>
      <c r="BD20" s="1"/>
      <c r="BE20" s="1"/>
      <c r="BF20" s="1"/>
      <c r="BG20" s="1"/>
      <c r="BH20" s="1"/>
      <c r="BI20" s="1"/>
      <c r="BJ20" s="1"/>
      <c r="BK20" s="1"/>
      <c r="BL20" s="1"/>
      <c r="BM20" s="1"/>
      <c r="BN20" s="1"/>
      <c r="BO20" s="1"/>
      <c r="BP20" s="1"/>
      <c r="BQ20" s="1"/>
      <c r="BR20" s="1"/>
      <c r="BS20" s="1"/>
      <c r="BT20" s="1"/>
      <c r="BU20" s="1"/>
      <c r="BV20" s="1"/>
      <c r="BW20" s="1"/>
      <c r="BX20" s="1"/>
      <c r="BY20" s="1"/>
      <c r="BZ20" s="1"/>
      <c r="CA20" s="1"/>
      <c r="CB20" s="1"/>
      <c r="CC20" s="1"/>
    </row>
    <row r="21" ht="14.25" customHeight="1">
      <c r="A21" s="1"/>
      <c r="B21" s="76"/>
      <c r="K21" s="77"/>
      <c r="L21" s="1"/>
      <c r="M21" s="93"/>
      <c r="N21" s="65"/>
      <c r="O21" s="65"/>
      <c r="P21" s="65"/>
      <c r="Q21" s="65"/>
      <c r="R21" s="65"/>
      <c r="S21" s="94"/>
      <c r="T21" s="95"/>
      <c r="Z21" s="96"/>
      <c r="AA21" s="1"/>
      <c r="AB21" s="80" t="str">
        <f>IF($AJ$6&gt;54%,"Reduce your expenses. You can't keep this up",
   IF($AJ$6&gt;44%,"Watch out for how much you're spending, there won't be much left for happiness",
      IF(COUNTIF(AB13:AB19,"*")&lt;1,"Start working on yourself! Do the simple things that makes you HAPPY!",
         IF(COUNTIF(AB13:AB19,"*")&lt;4,"Good that you're thinking on things that makes you happy, fill this list more!",
            "Amazing, keep on living happy!"))))</f>
        <v>Good that you're thinking on things that makes you happy, fill this list more!</v>
      </c>
      <c r="AC21" s="59"/>
      <c r="AD21" s="59"/>
      <c r="AE21" s="59"/>
      <c r="AF21" s="59"/>
      <c r="AG21" s="59"/>
      <c r="AH21" s="59"/>
      <c r="AI21" s="59"/>
      <c r="AJ21" s="59"/>
      <c r="AK21" s="59"/>
      <c r="AL21" s="59"/>
      <c r="AM21" s="59"/>
      <c r="AN21" s="59"/>
      <c r="AO21" s="5"/>
      <c r="AP21" s="1"/>
      <c r="AQ21" s="14" t="s">
        <v>39</v>
      </c>
      <c r="AR21" s="15"/>
      <c r="AS21" s="15"/>
      <c r="AT21" s="15"/>
      <c r="AU21" s="15"/>
      <c r="AV21" s="15"/>
      <c r="AW21" s="16"/>
      <c r="AX21" s="1"/>
      <c r="AY21" s="1"/>
      <c r="AZ21" s="1"/>
      <c r="BA21" s="1"/>
      <c r="BB21" s="1"/>
      <c r="BC21" s="1"/>
      <c r="BD21" s="1"/>
      <c r="BE21" s="1"/>
      <c r="BF21" s="1"/>
      <c r="BG21" s="1"/>
      <c r="BH21" s="1"/>
      <c r="BI21" s="1"/>
      <c r="BJ21" s="1"/>
      <c r="BK21" s="1"/>
      <c r="BL21" s="1"/>
      <c r="BM21" s="1"/>
      <c r="BN21" s="1"/>
      <c r="BO21" s="1"/>
      <c r="BP21" s="1"/>
      <c r="BQ21" s="1"/>
      <c r="BR21" s="1"/>
      <c r="BS21" s="1"/>
      <c r="BT21" s="1"/>
      <c r="BU21" s="1"/>
      <c r="BV21" s="1"/>
      <c r="BW21" s="1"/>
      <c r="BX21" s="1"/>
      <c r="BY21" s="1"/>
      <c r="BZ21" s="1"/>
      <c r="CA21" s="1"/>
      <c r="CB21" s="1"/>
      <c r="CC21" s="1"/>
    </row>
    <row r="22" ht="14.25" customHeight="1">
      <c r="A22" s="1"/>
      <c r="B22" s="76"/>
      <c r="K22" s="77"/>
      <c r="L22" s="1"/>
      <c r="M22" s="93"/>
      <c r="N22" s="65"/>
      <c r="O22" s="65"/>
      <c r="P22" s="65"/>
      <c r="Q22" s="65"/>
      <c r="R22" s="65"/>
      <c r="S22" s="94"/>
      <c r="T22" s="95"/>
      <c r="Z22" s="96"/>
      <c r="AA22" s="1"/>
      <c r="AB22" s="81"/>
      <c r="AO22" s="75"/>
      <c r="AP22" s="1"/>
      <c r="AQ22" s="36">
        <f>(SUM(December!Dec_Income)-U25)-(AJ5*SUM(December!Dec_Income))-(AJ6*(SUM(December!Dec_Income)))-SUM(December!Dec_Happiness)-AJ3</f>
        <v>331.1194975</v>
      </c>
      <c r="AR22" s="24"/>
      <c r="AS22" s="24"/>
      <c r="AT22" s="24"/>
      <c r="AU22" s="24"/>
      <c r="AV22" s="24"/>
      <c r="AW22" s="25"/>
      <c r="AX22" s="1"/>
      <c r="AY22" s="1"/>
      <c r="AZ22" s="1"/>
      <c r="BA22" s="1"/>
      <c r="BB22" s="1"/>
      <c r="BC22" s="1"/>
      <c r="BD22" s="1"/>
      <c r="BE22" s="1"/>
      <c r="BF22" s="1"/>
      <c r="BG22" s="1"/>
      <c r="BH22" s="1"/>
      <c r="BI22" s="1"/>
      <c r="BJ22" s="1"/>
      <c r="BK22" s="1"/>
      <c r="BL22" s="1"/>
      <c r="BM22" s="1"/>
      <c r="BN22" s="1"/>
      <c r="BO22" s="1"/>
      <c r="BP22" s="1"/>
      <c r="BQ22" s="1"/>
      <c r="BR22" s="1"/>
      <c r="BS22" s="1"/>
      <c r="BT22" s="1"/>
      <c r="BU22" s="1"/>
      <c r="BV22" s="1"/>
      <c r="BW22" s="1"/>
      <c r="BX22" s="1"/>
      <c r="BY22" s="1"/>
      <c r="BZ22" s="1"/>
      <c r="CA22" s="1"/>
      <c r="CB22" s="1"/>
      <c r="CC22" s="1"/>
    </row>
    <row r="23" ht="14.25" customHeight="1">
      <c r="A23" s="1"/>
      <c r="B23" s="76"/>
      <c r="K23" s="77"/>
      <c r="L23" s="1"/>
      <c r="M23" s="93"/>
      <c r="N23" s="65"/>
      <c r="O23" s="65"/>
      <c r="P23" s="65"/>
      <c r="Q23" s="65"/>
      <c r="R23" s="65"/>
      <c r="S23" s="94"/>
      <c r="T23" s="95"/>
      <c r="Z23" s="96"/>
      <c r="AA23" s="1"/>
      <c r="AB23" s="81"/>
      <c r="AO23" s="75"/>
      <c r="AP23" s="1"/>
      <c r="AQ23" s="1"/>
      <c r="AR23" s="1"/>
      <c r="AS23" s="1"/>
      <c r="AT23" s="1"/>
      <c r="AU23" s="1"/>
      <c r="AV23" s="1"/>
      <c r="AW23" s="1"/>
      <c r="AX23" s="1"/>
      <c r="AY23" s="1"/>
      <c r="AZ23" s="1"/>
      <c r="BA23" s="1"/>
      <c r="BB23" s="1"/>
      <c r="BC23" s="1"/>
      <c r="BD23" s="1"/>
      <c r="BE23" s="1"/>
      <c r="BF23" s="1"/>
      <c r="BG23" s="1"/>
      <c r="BH23" s="1"/>
      <c r="BI23" s="1"/>
      <c r="BJ23" s="1"/>
      <c r="BK23" s="1"/>
      <c r="BL23" s="1"/>
      <c r="BM23" s="1"/>
      <c r="BN23" s="1"/>
      <c r="BO23" s="1"/>
      <c r="BP23" s="1"/>
      <c r="BQ23" s="1"/>
      <c r="BR23" s="1"/>
      <c r="BS23" s="1"/>
      <c r="BT23" s="1"/>
      <c r="BU23" s="1"/>
      <c r="BV23" s="1"/>
      <c r="BW23" s="1"/>
      <c r="BX23" s="1"/>
      <c r="BY23" s="1"/>
      <c r="BZ23" s="1"/>
      <c r="CA23" s="1"/>
      <c r="CB23" s="1"/>
      <c r="CC23" s="1"/>
    </row>
    <row r="24" ht="14.25" customHeight="1">
      <c r="A24" s="1"/>
      <c r="B24" s="103"/>
      <c r="C24" s="104"/>
      <c r="D24" s="104"/>
      <c r="E24" s="104"/>
      <c r="F24" s="104"/>
      <c r="G24" s="104"/>
      <c r="H24" s="104"/>
      <c r="I24" s="104"/>
      <c r="J24" s="104"/>
      <c r="K24" s="105"/>
      <c r="L24" s="1"/>
      <c r="M24" s="106"/>
      <c r="N24" s="107"/>
      <c r="O24" s="107"/>
      <c r="P24" s="107"/>
      <c r="Q24" s="107"/>
      <c r="R24" s="107"/>
      <c r="S24" s="9"/>
      <c r="T24" s="108"/>
      <c r="U24" s="109"/>
      <c r="V24" s="109"/>
      <c r="W24" s="109"/>
      <c r="X24" s="109"/>
      <c r="Y24" s="109"/>
      <c r="Z24" s="110"/>
      <c r="AA24" s="1"/>
      <c r="AB24" s="10"/>
      <c r="AC24" s="82"/>
      <c r="AD24" s="82"/>
      <c r="AE24" s="82"/>
      <c r="AF24" s="82"/>
      <c r="AG24" s="82"/>
      <c r="AH24" s="82"/>
      <c r="AI24" s="82"/>
      <c r="AJ24" s="82"/>
      <c r="AK24" s="82"/>
      <c r="AL24" s="82"/>
      <c r="AM24" s="82"/>
      <c r="AN24" s="82"/>
      <c r="AO24" s="11"/>
      <c r="AP24" s="1"/>
      <c r="AQ24" s="1"/>
      <c r="AR24" s="1"/>
      <c r="AS24" s="1"/>
      <c r="AT24" s="1"/>
      <c r="AU24" s="1"/>
      <c r="AV24" s="1"/>
      <c r="AW24" s="1"/>
      <c r="AX24" s="1"/>
      <c r="AY24" s="1"/>
      <c r="AZ24" s="1"/>
      <c r="BA24" s="1"/>
      <c r="BB24" s="1"/>
      <c r="BC24" s="1"/>
      <c r="BD24" s="1"/>
      <c r="BE24" s="1"/>
      <c r="BF24" s="1"/>
      <c r="BG24" s="1"/>
      <c r="BH24" s="1"/>
      <c r="BI24" s="1"/>
      <c r="BJ24" s="1"/>
      <c r="BK24" s="1"/>
      <c r="BL24" s="1"/>
      <c r="BM24" s="1"/>
      <c r="BN24" s="1"/>
      <c r="BO24" s="1"/>
      <c r="BP24" s="1"/>
      <c r="BQ24" s="1"/>
      <c r="BR24" s="1"/>
      <c r="BS24" s="1"/>
      <c r="BT24" s="1"/>
      <c r="BU24" s="1"/>
      <c r="BV24" s="1"/>
      <c r="BW24" s="1"/>
      <c r="BX24" s="1"/>
      <c r="BY24" s="1"/>
      <c r="BZ24" s="1"/>
      <c r="CA24" s="1"/>
      <c r="CB24" s="1"/>
      <c r="CC24" s="1"/>
    </row>
    <row r="25" ht="4.5" customHeight="1">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c r="BJ25" s="1"/>
      <c r="BK25" s="1"/>
      <c r="BL25" s="1"/>
      <c r="BM25" s="1"/>
      <c r="BN25" s="1"/>
      <c r="BO25" s="1"/>
      <c r="BP25" s="1"/>
      <c r="BQ25" s="1"/>
      <c r="BR25" s="1"/>
      <c r="BS25" s="1"/>
      <c r="BT25" s="1"/>
      <c r="BU25" s="1"/>
      <c r="BV25" s="1"/>
      <c r="BW25" s="1"/>
      <c r="BX25" s="1"/>
      <c r="BY25" s="1"/>
      <c r="BZ25" s="1"/>
      <c r="CA25" s="1"/>
      <c r="CB25" s="1"/>
      <c r="CC25" s="1"/>
    </row>
  </sheetData>
  <mergeCells count="143">
    <mergeCell ref="AX2:BA2"/>
    <mergeCell ref="BB4:BG4"/>
    <mergeCell ref="BB3:BG3"/>
    <mergeCell ref="AX7:BA7"/>
    <mergeCell ref="AX5:BA5"/>
    <mergeCell ref="AQ8:AW8"/>
    <mergeCell ref="AX8:BA8"/>
    <mergeCell ref="BH5:BK5"/>
    <mergeCell ref="BR5:BW5"/>
    <mergeCell ref="BL5:BQ5"/>
    <mergeCell ref="BL2:BQ2"/>
    <mergeCell ref="BH4:BK4"/>
    <mergeCell ref="BH3:BK3"/>
    <mergeCell ref="BL3:BQ3"/>
    <mergeCell ref="BL4:BQ4"/>
    <mergeCell ref="BX3:CB3"/>
    <mergeCell ref="BR3:BW3"/>
    <mergeCell ref="BR7:BW7"/>
    <mergeCell ref="BX6:CB6"/>
    <mergeCell ref="BL6:BQ6"/>
    <mergeCell ref="BL7:BQ7"/>
    <mergeCell ref="BL8:BQ8"/>
    <mergeCell ref="BL9:BQ9"/>
    <mergeCell ref="AX9:BA9"/>
    <mergeCell ref="BB9:BG9"/>
    <mergeCell ref="BB8:BG8"/>
    <mergeCell ref="BH2:BK2"/>
    <mergeCell ref="BB2:BG2"/>
    <mergeCell ref="AQ4:AW4"/>
    <mergeCell ref="AX4:BA4"/>
    <mergeCell ref="BR4:BW4"/>
    <mergeCell ref="BX4:CB4"/>
    <mergeCell ref="AX3:BA3"/>
    <mergeCell ref="AQ3:AW3"/>
    <mergeCell ref="T3:Z3"/>
    <mergeCell ref="M3:S3"/>
    <mergeCell ref="B2:K2"/>
    <mergeCell ref="M2:S2"/>
    <mergeCell ref="T5:Z5"/>
    <mergeCell ref="M5:S5"/>
    <mergeCell ref="AX6:BA6"/>
    <mergeCell ref="BB6:BG6"/>
    <mergeCell ref="T23:Z23"/>
    <mergeCell ref="M22:S22"/>
    <mergeCell ref="M23:S23"/>
    <mergeCell ref="M10:S10"/>
    <mergeCell ref="T10:Z10"/>
    <mergeCell ref="T17:Z17"/>
    <mergeCell ref="T18:Z18"/>
    <mergeCell ref="M16:S16"/>
    <mergeCell ref="T16:Z16"/>
    <mergeCell ref="M15:S15"/>
    <mergeCell ref="M17:S17"/>
    <mergeCell ref="M18:S18"/>
    <mergeCell ref="M19:S19"/>
    <mergeCell ref="M11:S11"/>
    <mergeCell ref="M14:S14"/>
    <mergeCell ref="T20:Z20"/>
    <mergeCell ref="B3:K24"/>
    <mergeCell ref="T11:Z11"/>
    <mergeCell ref="T19:Z19"/>
    <mergeCell ref="M21:S21"/>
    <mergeCell ref="M20:S20"/>
    <mergeCell ref="AJ14:AO14"/>
    <mergeCell ref="AJ15:AO15"/>
    <mergeCell ref="AY12:BE14"/>
    <mergeCell ref="AY15:BE15"/>
    <mergeCell ref="AY16:BE16"/>
    <mergeCell ref="AJ13:AO13"/>
    <mergeCell ref="AB15:AI15"/>
    <mergeCell ref="T15:Z15"/>
    <mergeCell ref="AJ16:AO16"/>
    <mergeCell ref="T14:Z14"/>
    <mergeCell ref="AB13:AI13"/>
    <mergeCell ref="AB14:AI14"/>
    <mergeCell ref="AB16:AI16"/>
    <mergeCell ref="AB20:AI20"/>
    <mergeCell ref="AJ20:AO20"/>
    <mergeCell ref="T22:Z22"/>
    <mergeCell ref="T21:Z21"/>
    <mergeCell ref="AB21:AO24"/>
    <mergeCell ref="AB18:AI18"/>
    <mergeCell ref="AB19:AI19"/>
    <mergeCell ref="AB17:AI17"/>
    <mergeCell ref="AJ17:AO17"/>
    <mergeCell ref="AQ2:AW2"/>
    <mergeCell ref="BR2:BW2"/>
    <mergeCell ref="BX2:CB2"/>
    <mergeCell ref="AQ5:AW5"/>
    <mergeCell ref="BX5:CB5"/>
    <mergeCell ref="BB7:BG7"/>
    <mergeCell ref="BB5:BG5"/>
    <mergeCell ref="AQ7:AW7"/>
    <mergeCell ref="AQ10:CB10"/>
    <mergeCell ref="BX9:CB9"/>
    <mergeCell ref="BR9:BW9"/>
    <mergeCell ref="BH8:BK8"/>
    <mergeCell ref="BX8:CB8"/>
    <mergeCell ref="BR8:BW8"/>
    <mergeCell ref="BH9:BK9"/>
    <mergeCell ref="AQ13:AW13"/>
    <mergeCell ref="AQ12:AW12"/>
    <mergeCell ref="AQ15:AW15"/>
    <mergeCell ref="AQ16:AW16"/>
    <mergeCell ref="AQ18:AW18"/>
    <mergeCell ref="AQ19:AW19"/>
    <mergeCell ref="AQ21:AW21"/>
    <mergeCell ref="AQ22:AW22"/>
    <mergeCell ref="AQ9:AW9"/>
    <mergeCell ref="AJ6:AO6"/>
    <mergeCell ref="AB3:AI3"/>
    <mergeCell ref="AB2:AI2"/>
    <mergeCell ref="M4:S4"/>
    <mergeCell ref="T4:Z4"/>
    <mergeCell ref="T2:Z2"/>
    <mergeCell ref="AJ3:AO3"/>
    <mergeCell ref="AJ5:AO5"/>
    <mergeCell ref="M9:S9"/>
    <mergeCell ref="M8:S8"/>
    <mergeCell ref="T9:Z9"/>
    <mergeCell ref="T8:Z8"/>
    <mergeCell ref="M24:S24"/>
    <mergeCell ref="T24:Z24"/>
    <mergeCell ref="AJ18:AO18"/>
    <mergeCell ref="AJ19:AO19"/>
    <mergeCell ref="AB12:AI12"/>
    <mergeCell ref="AJ12:AO12"/>
    <mergeCell ref="AB6:AI6"/>
    <mergeCell ref="AB5:AI5"/>
    <mergeCell ref="T12:Z12"/>
    <mergeCell ref="T13:Z13"/>
    <mergeCell ref="M13:S13"/>
    <mergeCell ref="M12:S12"/>
    <mergeCell ref="AB7:AO10"/>
    <mergeCell ref="T6:Z6"/>
    <mergeCell ref="T7:Z7"/>
    <mergeCell ref="BR6:BW6"/>
    <mergeCell ref="BX7:CB7"/>
    <mergeCell ref="M6:S6"/>
    <mergeCell ref="BH6:BK6"/>
    <mergeCell ref="BH7:BK7"/>
    <mergeCell ref="AQ6:AW6"/>
    <mergeCell ref="M7:S7"/>
  </mergeCells>
  <printOptions/>
  <pageMargins bottom="0.75" footer="0.0" header="0.0" left="0.7" right="0.7" top="0.75"/>
  <pageSetup paperSize="9"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5"/>
    <col customWidth="1" min="2" max="2" width="12.75"/>
    <col customWidth="1" min="3" max="4" width="11.75"/>
    <col customWidth="1" min="5" max="5" width="14.75"/>
    <col customWidth="1" min="6" max="6" width="13.0"/>
    <col customWidth="1" min="7" max="7" width="12.75"/>
    <col customWidth="1" min="8" max="8" width="17.63"/>
    <col customWidth="1" min="9" max="9" width="21.38"/>
    <col customWidth="1" min="10" max="10" width="11.75"/>
    <col customWidth="1" min="11" max="11" width="14.13"/>
    <col customWidth="1" min="12" max="12" width="7.63"/>
    <col customWidth="1" min="13" max="13" width="14.13"/>
    <col customWidth="1" min="14" max="14" width="5.88"/>
    <col customWidth="1" min="15" max="15" width="12.75"/>
    <col customWidth="1" min="16" max="26" width="9.88"/>
  </cols>
  <sheetData>
    <row r="1" ht="14.25" customHeight="1">
      <c r="A1" s="111"/>
      <c r="B1" s="112" t="s">
        <v>43</v>
      </c>
      <c r="C1" s="112" t="s">
        <v>29</v>
      </c>
      <c r="D1" s="112" t="s">
        <v>30</v>
      </c>
      <c r="E1" s="112" t="s">
        <v>44</v>
      </c>
      <c r="F1" s="112" t="s">
        <v>45</v>
      </c>
      <c r="G1" s="113" t="s">
        <v>46</v>
      </c>
      <c r="H1" s="112" t="s">
        <v>47</v>
      </c>
      <c r="I1" s="112" t="s">
        <v>48</v>
      </c>
      <c r="J1" s="112" t="s">
        <v>49</v>
      </c>
    </row>
    <row r="2" ht="14.25" customHeight="1">
      <c r="A2" s="114" t="s">
        <v>50</v>
      </c>
      <c r="B2" s="115">
        <f>SUM(January!Jan_Income)</f>
        <v>1567</v>
      </c>
      <c r="C2" s="115">
        <f>SUM(January!Jan_Liabilities)</f>
        <v>214</v>
      </c>
      <c r="D2" s="115">
        <f>SUM(January!Jan_Happiness)</f>
        <v>50</v>
      </c>
      <c r="E2" s="115">
        <f>SUM(January!Jan_Amo_Invested)</f>
        <v>0</v>
      </c>
      <c r="F2" s="116">
        <v>1.0</v>
      </c>
      <c r="G2" s="115">
        <f>SUM(E2:F2)</f>
        <v>1</v>
      </c>
      <c r="H2" s="117">
        <f t="shared" ref="H2:H13" si="1">C2/B2</f>
        <v>0.1365666879</v>
      </c>
      <c r="I2" s="117">
        <f t="shared" ref="I2:I13" si="2">E2/B2</f>
        <v>0</v>
      </c>
      <c r="J2" s="118" t="str">
        <f>F2/E2</f>
        <v>#DIV/0!</v>
      </c>
    </row>
    <row r="3" ht="14.25" customHeight="1">
      <c r="A3" s="119" t="s">
        <v>51</v>
      </c>
      <c r="B3" s="115">
        <f>SUM(February!Feb_Income)</f>
        <v>1797.62</v>
      </c>
      <c r="C3" s="115">
        <f>SUM(February!Feb_Liabilities)</f>
        <v>214</v>
      </c>
      <c r="D3" s="115">
        <f>SUM(February!Feb_Happiness)</f>
        <v>1050</v>
      </c>
      <c r="E3" s="115">
        <f>SUM(February!Feb_Amo_Invested)</f>
        <v>359.524</v>
      </c>
      <c r="F3" s="115">
        <f>February!$AQ$16</f>
        <v>5.8961936</v>
      </c>
      <c r="G3" s="115">
        <f t="shared" ref="G3:G13" si="3">G2+E3+F2</f>
        <v>361.524</v>
      </c>
      <c r="H3" s="117">
        <f t="shared" si="1"/>
        <v>0.1190462945</v>
      </c>
      <c r="I3" s="117">
        <f t="shared" si="2"/>
        <v>0.2</v>
      </c>
      <c r="J3" s="120">
        <f t="shared" ref="J3:J13" si="4">(F3/F2)/100</f>
        <v>0.058961936</v>
      </c>
    </row>
    <row r="4" ht="14.25" customHeight="1">
      <c r="A4" s="114" t="s">
        <v>52</v>
      </c>
      <c r="B4" s="115">
        <f>SUM(March!Mar_Income)</f>
        <v>1628.277794</v>
      </c>
      <c r="C4" s="115">
        <f>SUM(March!Mar_Liabilities)</f>
        <v>214</v>
      </c>
      <c r="D4" s="115">
        <f>SUM(March!Mar_Happiness)</f>
        <v>800</v>
      </c>
      <c r="E4" s="115">
        <f>SUM(March!Mar_Amo_Invested)</f>
        <v>407.0694484</v>
      </c>
      <c r="F4" s="115">
        <f>March!$AQ$16</f>
        <v>12.67215213</v>
      </c>
      <c r="G4" s="115">
        <f t="shared" si="3"/>
        <v>774.489642</v>
      </c>
      <c r="H4" s="117">
        <f t="shared" si="1"/>
        <v>0.1314272054</v>
      </c>
      <c r="I4" s="117">
        <f t="shared" si="2"/>
        <v>0.25</v>
      </c>
      <c r="J4" s="120">
        <f t="shared" si="4"/>
        <v>0.02149208963</v>
      </c>
      <c r="K4" s="118"/>
    </row>
    <row r="5" ht="14.25" customHeight="1">
      <c r="A5" s="114" t="s">
        <v>53</v>
      </c>
      <c r="B5" s="115">
        <f>SUM(April!Apr_Income)</f>
        <v>1672.204384</v>
      </c>
      <c r="C5" s="115">
        <f>SUM(April!Apr_Liabilities)</f>
        <v>214</v>
      </c>
      <c r="D5" s="115">
        <f>SUM(April!Apr_Happiness)</f>
        <v>50</v>
      </c>
      <c r="E5" s="115">
        <f>SUM(April!Apr_Amo_Invested)</f>
        <v>1086.93285</v>
      </c>
      <c r="F5" s="115">
        <f>April!$AQ$16</f>
        <v>30.71286862</v>
      </c>
      <c r="G5" s="115">
        <f t="shared" si="3"/>
        <v>1874.094644</v>
      </c>
      <c r="H5" s="117">
        <f t="shared" si="1"/>
        <v>0.1279747871</v>
      </c>
      <c r="I5" s="117">
        <f t="shared" si="2"/>
        <v>0.65</v>
      </c>
      <c r="J5" s="120">
        <f t="shared" si="4"/>
        <v>0.02423650561</v>
      </c>
    </row>
    <row r="6" ht="14.25" customHeight="1">
      <c r="A6" s="114" t="s">
        <v>54</v>
      </c>
      <c r="B6" s="115">
        <f>SUM(May!May_Income)</f>
        <v>1748.597833</v>
      </c>
      <c r="C6" s="115">
        <f>SUM(May!May_Liabilities)</f>
        <v>214</v>
      </c>
      <c r="D6" s="115">
        <f>SUM(May!May_Happiness)</f>
        <v>50</v>
      </c>
      <c r="E6" s="115">
        <f>SUM(May!May_Amo_Invested)</f>
        <v>1136.588592</v>
      </c>
      <c r="F6" s="115">
        <f>May!$AQ$16</f>
        <v>49.87409008</v>
      </c>
      <c r="G6" s="115">
        <f t="shared" si="3"/>
        <v>3041.396104</v>
      </c>
      <c r="H6" s="117">
        <f t="shared" si="1"/>
        <v>0.1223837728</v>
      </c>
      <c r="I6" s="117">
        <f t="shared" si="2"/>
        <v>0.65</v>
      </c>
      <c r="J6" s="120">
        <f t="shared" si="4"/>
        <v>0.01623882507</v>
      </c>
    </row>
    <row r="7" ht="14.25" customHeight="1">
      <c r="A7" s="114" t="s">
        <v>55</v>
      </c>
      <c r="B7" s="115">
        <f>SUM(June!Jun_Income)</f>
        <v>1802.051592</v>
      </c>
      <c r="C7" s="115">
        <f>SUM(June!Jun_Liabilities)</f>
        <v>214</v>
      </c>
      <c r="D7" s="115">
        <f>SUM(June!Jun_Happiness)</f>
        <v>50</v>
      </c>
      <c r="E7" s="115">
        <f>SUM(June!Jun_Amo_Invested)</f>
        <v>1171.333535</v>
      </c>
      <c r="F7" s="115">
        <f>June!$AQ$16</f>
        <v>69.9304566</v>
      </c>
      <c r="G7" s="115">
        <f t="shared" si="3"/>
        <v>4262.603729</v>
      </c>
      <c r="H7" s="117">
        <f t="shared" si="1"/>
        <v>0.1187535368</v>
      </c>
      <c r="I7" s="117">
        <f t="shared" si="2"/>
        <v>0.65</v>
      </c>
      <c r="J7" s="120">
        <f t="shared" si="4"/>
        <v>0.01402139999</v>
      </c>
    </row>
    <row r="8" ht="14.25" customHeight="1">
      <c r="A8" s="114" t="s">
        <v>56</v>
      </c>
      <c r="B8" s="115">
        <f>SUM(July!Jul_Income)</f>
        <v>1834.402323</v>
      </c>
      <c r="C8" s="115">
        <f>SUM(July!Jul_Liabilities)</f>
        <v>214</v>
      </c>
      <c r="D8" s="115">
        <f>SUM(July!Jul_Happiness)</f>
        <v>50</v>
      </c>
      <c r="E8" s="115">
        <f>SUM(July!Jul_Amo_Invested)</f>
        <v>1192.36151</v>
      </c>
      <c r="F8" s="115">
        <f>July!$AQ$16</f>
        <v>90.67237744</v>
      </c>
      <c r="G8" s="115">
        <f t="shared" si="3"/>
        <v>5524.895695</v>
      </c>
      <c r="H8" s="117">
        <f t="shared" si="1"/>
        <v>0.1166592505</v>
      </c>
      <c r="I8" s="117">
        <f t="shared" si="2"/>
        <v>0.65</v>
      </c>
      <c r="J8" s="120">
        <f t="shared" si="4"/>
        <v>0.01296607828</v>
      </c>
    </row>
    <row r="9" ht="14.25" customHeight="1">
      <c r="A9" s="114" t="s">
        <v>57</v>
      </c>
      <c r="B9" s="115">
        <f>SUM(August!Aug_Income)</f>
        <v>1862.584912</v>
      </c>
      <c r="C9" s="115">
        <f>SUM(August!Aug_Liabilities)</f>
        <v>214</v>
      </c>
      <c r="D9" s="115">
        <f>SUM(August!Aug_Happiness)</f>
        <v>50</v>
      </c>
      <c r="E9" s="115">
        <f>SUM(August!Aug_Amo_Invested)</f>
        <v>1210.680193</v>
      </c>
      <c r="F9" s="115">
        <f>August!$AQ$16</f>
        <v>112.0672437</v>
      </c>
      <c r="G9" s="115">
        <f t="shared" si="3"/>
        <v>6826.248265</v>
      </c>
      <c r="H9" s="117">
        <f t="shared" si="1"/>
        <v>0.1148940908</v>
      </c>
      <c r="I9" s="117">
        <f t="shared" si="2"/>
        <v>0.65</v>
      </c>
      <c r="J9" s="120">
        <f t="shared" si="4"/>
        <v>0.01235957928</v>
      </c>
    </row>
    <row r="10" ht="14.25" customHeight="1">
      <c r="A10" s="114" t="s">
        <v>58</v>
      </c>
      <c r="B10" s="115">
        <f>SUM(September!Sep_Income)</f>
        <v>1909.087623</v>
      </c>
      <c r="C10" s="115">
        <f>SUM(September!Sep_Liabilities)</f>
        <v>214</v>
      </c>
      <c r="D10" s="115">
        <f>SUM(September!Sep_Happiness)</f>
        <v>50</v>
      </c>
      <c r="E10" s="115">
        <f>SUM(September!Sep_Amo_Invested)</f>
        <v>1240.906955</v>
      </c>
      <c r="F10" s="115">
        <f>September!$AQ$16</f>
        <v>134.3216279</v>
      </c>
      <c r="G10" s="115">
        <f t="shared" si="3"/>
        <v>8179.222463</v>
      </c>
      <c r="H10" s="117">
        <f t="shared" si="1"/>
        <v>0.1120954311</v>
      </c>
      <c r="I10" s="117">
        <f t="shared" si="2"/>
        <v>0.65</v>
      </c>
      <c r="J10" s="120">
        <f t="shared" si="4"/>
        <v>0.01198580633</v>
      </c>
    </row>
    <row r="11" ht="14.25" customHeight="1">
      <c r="A11" s="114" t="s">
        <v>59</v>
      </c>
      <c r="B11" s="115">
        <f>SUM(October!Oct_Income)</f>
        <v>1942.502657</v>
      </c>
      <c r="C11" s="115">
        <f>SUM(October!Oct_Liabilities)</f>
        <v>214</v>
      </c>
      <c r="D11" s="115">
        <f>SUM(October!Oct_Happiness)</f>
        <v>50</v>
      </c>
      <c r="E11" s="115">
        <f>SUM(October!Oct_Amo_Invested)</f>
        <v>1262.626727</v>
      </c>
      <c r="F11" s="115">
        <f>October!$AQ$16</f>
        <v>157.310809</v>
      </c>
      <c r="G11" s="115">
        <f t="shared" si="3"/>
        <v>9576.170819</v>
      </c>
      <c r="H11" s="117">
        <f t="shared" si="1"/>
        <v>0.1101671595</v>
      </c>
      <c r="I11" s="117">
        <f t="shared" si="2"/>
        <v>0.65</v>
      </c>
      <c r="J11" s="120">
        <f t="shared" si="4"/>
        <v>0.01171150256</v>
      </c>
    </row>
    <row r="12" ht="14.25" customHeight="1">
      <c r="A12" s="114" t="s">
        <v>60</v>
      </c>
      <c r="B12" s="115">
        <f>SUM(November!Nov_Income)</f>
        <v>1973.511447</v>
      </c>
      <c r="C12" s="115">
        <f>SUM(November!Nov_Liabilities)</f>
        <v>214</v>
      </c>
      <c r="D12" s="115">
        <f>SUM(November!Nov_Happiness)</f>
        <v>50</v>
      </c>
      <c r="E12" s="115">
        <f>SUM(November!Nov_Amo_Invested)</f>
        <v>1282.78244</v>
      </c>
      <c r="F12" s="115">
        <f>November!$AQ$16</f>
        <v>181.0218258</v>
      </c>
      <c r="G12" s="115">
        <f t="shared" si="3"/>
        <v>11016.26407</v>
      </c>
      <c r="H12" s="117">
        <f t="shared" si="1"/>
        <v>0.1084361585</v>
      </c>
      <c r="I12" s="117">
        <f t="shared" si="2"/>
        <v>0.65</v>
      </c>
      <c r="J12" s="120">
        <f t="shared" si="4"/>
        <v>0.01150727194</v>
      </c>
    </row>
    <row r="13" ht="14.25" customHeight="1">
      <c r="A13" s="114" t="s">
        <v>61</v>
      </c>
      <c r="B13" s="115">
        <f>SUM(December!Dec_Income)</f>
        <v>2004.664573</v>
      </c>
      <c r="C13" s="115">
        <f>SUM(December!Dec_Liabilities)</f>
        <v>214</v>
      </c>
      <c r="D13" s="115">
        <f>SUM(December!Dec_Happiness)</f>
        <v>50</v>
      </c>
      <c r="E13" s="115">
        <f>SUM(December!Dec_Amo_Invested)</f>
        <v>1303.031972</v>
      </c>
      <c r="F13" s="115">
        <f>December!$AQ$16</f>
        <v>205.4686971</v>
      </c>
      <c r="G13" s="115">
        <f t="shared" si="3"/>
        <v>12500.31787</v>
      </c>
      <c r="H13" s="117">
        <f t="shared" si="1"/>
        <v>0.106751026</v>
      </c>
      <c r="I13" s="117">
        <f t="shared" si="2"/>
        <v>0.65</v>
      </c>
      <c r="J13" s="120">
        <f t="shared" si="4"/>
        <v>0.01135049302</v>
      </c>
    </row>
    <row r="14" ht="14.25" customHeight="1">
      <c r="A14" s="114" t="s">
        <v>1</v>
      </c>
      <c r="B14" s="115">
        <f t="shared" ref="B14:E14" si="5">SUM(B2:B13)</f>
        <v>21742.50514</v>
      </c>
      <c r="C14" s="115">
        <f t="shared" si="5"/>
        <v>2568</v>
      </c>
      <c r="D14" s="115">
        <f t="shared" si="5"/>
        <v>2350</v>
      </c>
      <c r="E14" s="115">
        <f t="shared" si="5"/>
        <v>11653.83822</v>
      </c>
      <c r="F14" s="115">
        <f t="shared" ref="F14:G14" si="6">F13</f>
        <v>205.4686971</v>
      </c>
      <c r="G14" s="115">
        <f t="shared" si="6"/>
        <v>12500.31787</v>
      </c>
      <c r="J14" s="118"/>
    </row>
    <row r="15" ht="14.25" customHeight="1">
      <c r="B15" s="115"/>
      <c r="C15" s="115"/>
      <c r="D15" s="115"/>
      <c r="E15" s="115"/>
      <c r="F15" s="115"/>
      <c r="G15" s="115"/>
      <c r="J15" s="118"/>
    </row>
    <row r="16" ht="14.25" customHeight="1">
      <c r="A16" s="121" t="s">
        <v>62</v>
      </c>
      <c r="F16" s="121" t="s">
        <v>63</v>
      </c>
      <c r="K16" s="121" t="s">
        <v>64</v>
      </c>
    </row>
    <row r="17" ht="14.25" customHeight="1">
      <c r="B17" s="114" t="s">
        <v>65</v>
      </c>
      <c r="C17" s="114" t="s">
        <v>66</v>
      </c>
      <c r="D17" s="114" t="s">
        <v>67</v>
      </c>
      <c r="E17" s="114" t="s">
        <v>68</v>
      </c>
      <c r="G17" s="114" t="s">
        <v>65</v>
      </c>
      <c r="H17" s="114" t="s">
        <v>66</v>
      </c>
      <c r="I17" s="114" t="s">
        <v>67</v>
      </c>
      <c r="J17" s="114" t="s">
        <v>68</v>
      </c>
      <c r="L17" s="114" t="s">
        <v>65</v>
      </c>
      <c r="M17" s="114" t="s">
        <v>66</v>
      </c>
      <c r="N17" s="114" t="s">
        <v>67</v>
      </c>
      <c r="O17" s="114" t="s">
        <v>68</v>
      </c>
    </row>
    <row r="18" ht="14.25" customHeight="1">
      <c r="A18" s="114" t="str">
        <f t="array" ref="A18:A29">IF(January!M13:M24=0,"",
   January!M13:M24)</f>
        <v>House Bills</v>
      </c>
      <c r="B18" s="115">
        <f t="array" ref="B18:B29">IF(January!T13:T24&gt;0,January!T13:T24,
   "")</f>
        <v>100</v>
      </c>
      <c r="C18" s="114" t="str">
        <f>IFERROR(__xludf.DUMMYFUNCTION("ARRAY_CONSTRAIN(ARRAYFORMULA(UNIQUE(FILTER(A19:A161,A19:A161&gt;""""))), 7, 1)"),"Food")</f>
        <v>Food</v>
      </c>
      <c r="D18" s="114">
        <f t="shared" ref="D18:D37" si="7">IF(C18&gt;"",COUNTIF($A$18:$A$161,C18),"")</f>
        <v>12</v>
      </c>
      <c r="E18" s="115">
        <f t="shared" ref="E18:E37" si="8">IF(C18&gt;"",SUMIF($A$18:$A$161,C18,$B$18:$B$161),
   "")</f>
        <v>1200</v>
      </c>
      <c r="F18" s="114" t="str">
        <f t="array" ref="F18:F24">IF(January!AB13:AB19=0,"",
   January!AB13:AB19)</f>
        <v>Hanging Out</v>
      </c>
      <c r="G18" s="115">
        <f t="array" ref="G18:G24">IF(January!AJ13:AJ19&gt;0,January!AJ13:AJ19,
   "")</f>
        <v>50</v>
      </c>
      <c r="H18" s="114" t="str">
        <f>IFERROR(__xludf.DUMMYFUNCTION("ARRAY_CONSTRAIN(ARRAYFORMULA(UNIQUE(FILTER(F18:F101,F18:F101&gt;""""))), 5, 1)"),"Hanging Out")</f>
        <v>Hanging Out</v>
      </c>
      <c r="I18" s="114">
        <f t="shared" ref="I18:I26" si="9">IF(H18&gt;"",COUNTIF(F18:F101,H18),
   "")</f>
        <v>12</v>
      </c>
      <c r="J18" s="115">
        <f t="shared" ref="J18:J37" si="10">IF(H18&gt;"",SUMIF($F$18:$F$161,H18,$G$18:$G$161),
   "")</f>
        <v>600</v>
      </c>
      <c r="K18" s="122" t="str">
        <f t="array" ref="K18:K24">IF(January!M3:M10=0,"",
   January!M3:M10)</f>
        <v>Payment</v>
      </c>
      <c r="L18" s="122">
        <f t="array" ref="L18:L24">IF(January!T3:T10=0,"",
   January!T3:T10)</f>
        <v>1500</v>
      </c>
      <c r="M18" s="114" t="str">
        <f>IFERROR(__xludf.DUMMYFUNCTION("ARRAY_CONSTRAIN(ARRAYFORMULA(IF(UNIQUE(FILTER(K18:K101,(K18:K101&gt;"""")))&gt;"""",UNIQUE(FILTER(K18:K101,(K18:K101&gt;""""))),
   """")), 4, 1)"),"Payment")</f>
        <v>Payment</v>
      </c>
      <c r="N18" s="114">
        <f t="shared" ref="N18:N37" si="11">IF(M18&gt;"",COUNTIF(K18:K101,M18),
   "")</f>
        <v>12</v>
      </c>
      <c r="O18" s="115">
        <f t="shared" ref="O18:O37" si="12">IF(M18&gt;"",SUMIF($K$18:$K$101,M18,$L$18:$L$101),
   "")</f>
        <v>18000</v>
      </c>
    </row>
    <row r="19" ht="14.25" customHeight="1">
      <c r="A19" s="114" t="s">
        <v>36</v>
      </c>
      <c r="B19" s="114">
        <v>100.0</v>
      </c>
      <c r="C19" s="114" t="str">
        <f>IFERROR(__xludf.DUMMYFUNCTION("""COMPUTED_VALUE"""),"College Stuff")</f>
        <v>College Stuff</v>
      </c>
      <c r="D19" s="114">
        <f t="shared" si="7"/>
        <v>12</v>
      </c>
      <c r="E19" s="115">
        <f t="shared" si="8"/>
        <v>168</v>
      </c>
      <c r="F19" s="114" t="s">
        <v>7</v>
      </c>
      <c r="G19" s="114" t="s">
        <v>7</v>
      </c>
      <c r="H19" s="114" t="str">
        <f>IFERROR(__xludf.DUMMYFUNCTION("""COMPUTED_VALUE"""),"XPS")</f>
        <v>XPS</v>
      </c>
      <c r="I19" s="114">
        <f t="shared" si="9"/>
        <v>2</v>
      </c>
      <c r="J19" s="115">
        <f t="shared" si="10"/>
        <v>1750</v>
      </c>
      <c r="K19" s="122" t="s">
        <v>4</v>
      </c>
      <c r="L19" s="122">
        <v>67.0</v>
      </c>
      <c r="M19" s="114" t="str">
        <f>IFERROR(__xludf.DUMMYFUNCTION("""COMPUTED_VALUE"""),"Last Month Left.")</f>
        <v>Last Month Left.</v>
      </c>
      <c r="N19" s="114">
        <f t="shared" si="11"/>
        <v>12</v>
      </c>
      <c r="O19" s="115">
        <f t="shared" si="12"/>
        <v>2898.025492</v>
      </c>
    </row>
    <row r="20" ht="14.25" customHeight="1">
      <c r="A20" s="114" t="s">
        <v>2</v>
      </c>
      <c r="B20" s="114">
        <v>14.0</v>
      </c>
      <c r="C20" s="114" t="str">
        <f>IFERROR(__xludf.DUMMYFUNCTION("""COMPUTED_VALUE"""),"House Bills")</f>
        <v>House Bills</v>
      </c>
      <c r="D20" s="114">
        <f t="shared" si="7"/>
        <v>12</v>
      </c>
      <c r="E20" s="115">
        <f t="shared" si="8"/>
        <v>1200</v>
      </c>
      <c r="F20" s="114" t="s">
        <v>7</v>
      </c>
      <c r="G20" s="114" t="s">
        <v>7</v>
      </c>
      <c r="I20" s="114" t="str">
        <f t="shared" si="9"/>
        <v/>
      </c>
      <c r="J20" s="115" t="str">
        <f t="shared" si="10"/>
        <v/>
      </c>
      <c r="K20" s="122" t="s">
        <v>8</v>
      </c>
      <c r="L20" s="122" t="s">
        <v>7</v>
      </c>
      <c r="M20" s="114" t="str">
        <f>IFERROR(__xludf.DUMMYFUNCTION("""COMPUTED_VALUE"""),"Invested Profit")</f>
        <v>Invested Profit</v>
      </c>
      <c r="N20" s="114">
        <f t="shared" si="11"/>
        <v>12</v>
      </c>
      <c r="O20" s="115">
        <f t="shared" si="12"/>
        <v>844.4796449</v>
      </c>
    </row>
    <row r="21" ht="14.25" customHeight="1">
      <c r="A21" s="114" t="s">
        <v>7</v>
      </c>
      <c r="B21" s="114" t="s">
        <v>7</v>
      </c>
      <c r="D21" s="114" t="str">
        <f t="shared" si="7"/>
        <v/>
      </c>
      <c r="E21" s="115" t="str">
        <f t="shared" si="8"/>
        <v/>
      </c>
      <c r="F21" s="114" t="s">
        <v>7</v>
      </c>
      <c r="G21" s="114" t="s">
        <v>7</v>
      </c>
      <c r="I21" s="114" t="str">
        <f t="shared" si="9"/>
        <v/>
      </c>
      <c r="J21" s="115" t="str">
        <f t="shared" si="10"/>
        <v/>
      </c>
      <c r="K21" s="122" t="s">
        <v>9</v>
      </c>
      <c r="L21" s="122" t="s">
        <v>7</v>
      </c>
      <c r="M21" s="114" t="str">
        <f>IFERROR(__xludf.DUMMYFUNCTION("""COMPUTED_VALUE"""),"Unexpected")</f>
        <v>Unexpected</v>
      </c>
      <c r="N21" s="114">
        <f t="shared" si="11"/>
        <v>12</v>
      </c>
      <c r="O21" s="115">
        <f t="shared" si="12"/>
        <v>0</v>
      </c>
    </row>
    <row r="22" ht="14.25" customHeight="1">
      <c r="A22" s="114" t="s">
        <v>7</v>
      </c>
      <c r="B22" s="114" t="s">
        <v>7</v>
      </c>
      <c r="D22" s="114" t="str">
        <f t="shared" si="7"/>
        <v/>
      </c>
      <c r="E22" s="115" t="str">
        <f t="shared" si="8"/>
        <v/>
      </c>
      <c r="F22" s="114" t="s">
        <v>7</v>
      </c>
      <c r="G22" s="114" t="s">
        <v>7</v>
      </c>
      <c r="I22" s="114" t="str">
        <f t="shared" si="9"/>
        <v/>
      </c>
      <c r="J22" s="115" t="str">
        <f t="shared" si="10"/>
        <v/>
      </c>
      <c r="K22" s="122" t="s">
        <v>7</v>
      </c>
      <c r="L22" s="122" t="s">
        <v>7</v>
      </c>
      <c r="N22" s="114" t="str">
        <f t="shared" si="11"/>
        <v/>
      </c>
      <c r="O22" s="115" t="str">
        <f t="shared" si="12"/>
        <v/>
      </c>
    </row>
    <row r="23" ht="14.25" customHeight="1">
      <c r="A23" s="114" t="s">
        <v>7</v>
      </c>
      <c r="B23" s="114" t="s">
        <v>7</v>
      </c>
      <c r="D23" s="114" t="str">
        <f t="shared" si="7"/>
        <v/>
      </c>
      <c r="E23" s="115" t="str">
        <f t="shared" si="8"/>
        <v/>
      </c>
      <c r="F23" s="114" t="s">
        <v>7</v>
      </c>
      <c r="G23" s="114" t="s">
        <v>7</v>
      </c>
      <c r="I23" s="114" t="str">
        <f t="shared" si="9"/>
        <v/>
      </c>
      <c r="J23" s="115" t="str">
        <f t="shared" si="10"/>
        <v/>
      </c>
      <c r="K23" s="122" t="s">
        <v>7</v>
      </c>
      <c r="L23" s="122" t="s">
        <v>7</v>
      </c>
      <c r="N23" s="114" t="str">
        <f t="shared" si="11"/>
        <v/>
      </c>
      <c r="O23" s="115" t="str">
        <f t="shared" si="12"/>
        <v/>
      </c>
    </row>
    <row r="24" ht="14.25" customHeight="1">
      <c r="A24" s="114" t="s">
        <v>7</v>
      </c>
      <c r="B24" s="114" t="s">
        <v>7</v>
      </c>
      <c r="D24" s="114" t="str">
        <f t="shared" si="7"/>
        <v/>
      </c>
      <c r="E24" s="115" t="str">
        <f t="shared" si="8"/>
        <v/>
      </c>
      <c r="F24" s="114" t="s">
        <v>7</v>
      </c>
      <c r="G24" s="114" t="s">
        <v>7</v>
      </c>
      <c r="I24" s="114" t="str">
        <f t="shared" si="9"/>
        <v/>
      </c>
      <c r="J24" s="115" t="str">
        <f t="shared" si="10"/>
        <v/>
      </c>
      <c r="K24" s="122" t="s">
        <v>7</v>
      </c>
      <c r="L24" s="122" t="s">
        <v>7</v>
      </c>
      <c r="N24" s="114" t="str">
        <f t="shared" si="11"/>
        <v/>
      </c>
      <c r="O24" s="115" t="str">
        <f t="shared" si="12"/>
        <v/>
      </c>
    </row>
    <row r="25" ht="14.25" customHeight="1">
      <c r="A25" s="114" t="s">
        <v>7</v>
      </c>
      <c r="B25" s="114" t="s">
        <v>7</v>
      </c>
      <c r="D25" s="114" t="str">
        <f t="shared" si="7"/>
        <v/>
      </c>
      <c r="E25" s="115" t="str">
        <f t="shared" si="8"/>
        <v/>
      </c>
      <c r="G25" s="115"/>
      <c r="I25" s="114" t="str">
        <f t="shared" si="9"/>
        <v/>
      </c>
      <c r="J25" s="115" t="str">
        <f t="shared" si="10"/>
        <v/>
      </c>
      <c r="K25" s="122" t="str">
        <f t="array" ref="K25:K31">IF(February!M3:M11=0,"",
   February!M3:M11)</f>
        <v>Payment</v>
      </c>
      <c r="L25" s="122">
        <f t="array" ref="L25:L31">IF(February!T3:T11=0,"",
   February!T3:IT11)</f>
        <v>1500</v>
      </c>
      <c r="N25" s="114" t="str">
        <f t="shared" si="11"/>
        <v/>
      </c>
      <c r="O25" s="115" t="str">
        <f t="shared" si="12"/>
        <v/>
      </c>
    </row>
    <row r="26" ht="14.25" customHeight="1">
      <c r="A26" s="114" t="s">
        <v>7</v>
      </c>
      <c r="B26" s="114" t="s">
        <v>7</v>
      </c>
      <c r="D26" s="114" t="str">
        <f t="shared" si="7"/>
        <v/>
      </c>
      <c r="E26" s="115" t="str">
        <f t="shared" si="8"/>
        <v/>
      </c>
      <c r="F26" s="114" t="str">
        <f t="array" ref="F26:F32">IF(February!AB13:AB20=0,"",
   February!AB13:AB20)</f>
        <v>Hanging Out</v>
      </c>
      <c r="G26" s="114">
        <f t="array" ref="G26:G32">IF(February!AJ13:AJ20&gt;0,February!Z13:AJ20,
   "")</f>
        <v>50</v>
      </c>
      <c r="I26" s="114" t="str">
        <f t="shared" si="9"/>
        <v/>
      </c>
      <c r="J26" s="115" t="str">
        <f t="shared" si="10"/>
        <v/>
      </c>
      <c r="K26" s="122" t="s">
        <v>4</v>
      </c>
      <c r="L26" s="122">
        <v>297.6199999999999</v>
      </c>
      <c r="N26" s="114" t="str">
        <f t="shared" si="11"/>
        <v/>
      </c>
      <c r="O26" s="115" t="str">
        <f t="shared" si="12"/>
        <v/>
      </c>
    </row>
    <row r="27" ht="14.25" customHeight="1">
      <c r="A27" s="114" t="s">
        <v>7</v>
      </c>
      <c r="B27" s="114" t="s">
        <v>7</v>
      </c>
      <c r="D27" s="114" t="str">
        <f t="shared" si="7"/>
        <v/>
      </c>
      <c r="E27" s="115" t="str">
        <f t="shared" si="8"/>
        <v/>
      </c>
      <c r="F27" s="114" t="s">
        <v>3</v>
      </c>
      <c r="G27" s="114">
        <v>1000.0</v>
      </c>
      <c r="I27" s="114" t="str">
        <f>IF(H27&gt;"",COUNTIF(F25:F110,H27),
   "")</f>
        <v/>
      </c>
      <c r="J27" s="115" t="str">
        <f t="shared" si="10"/>
        <v/>
      </c>
      <c r="K27" s="122" t="s">
        <v>8</v>
      </c>
      <c r="L27" s="122" t="s">
        <v>7</v>
      </c>
      <c r="N27" s="114" t="str">
        <f t="shared" si="11"/>
        <v/>
      </c>
      <c r="O27" s="115" t="str">
        <f t="shared" si="12"/>
        <v/>
      </c>
    </row>
    <row r="28" ht="14.25" customHeight="1">
      <c r="A28" s="114" t="s">
        <v>7</v>
      </c>
      <c r="B28" s="114" t="s">
        <v>7</v>
      </c>
      <c r="D28" s="114" t="str">
        <f t="shared" si="7"/>
        <v/>
      </c>
      <c r="E28" s="115" t="str">
        <f t="shared" si="8"/>
        <v/>
      </c>
      <c r="F28" s="114" t="s">
        <v>7</v>
      </c>
      <c r="G28" s="114" t="s">
        <v>7</v>
      </c>
      <c r="I28" s="114" t="str">
        <f>IF(H28&gt;"",COUNTIF(F29:F111,H28),
   "")</f>
        <v/>
      </c>
      <c r="J28" s="115" t="str">
        <f t="shared" si="10"/>
        <v/>
      </c>
      <c r="K28" s="122" t="s">
        <v>9</v>
      </c>
      <c r="L28" s="122" t="s">
        <v>7</v>
      </c>
      <c r="N28" s="114" t="str">
        <f t="shared" si="11"/>
        <v/>
      </c>
      <c r="O28" s="115" t="str">
        <f t="shared" si="12"/>
        <v/>
      </c>
    </row>
    <row r="29" ht="14.25" customHeight="1">
      <c r="A29" s="114" t="s">
        <v>7</v>
      </c>
      <c r="B29" s="114" t="s">
        <v>7</v>
      </c>
      <c r="D29" s="114" t="str">
        <f t="shared" si="7"/>
        <v/>
      </c>
      <c r="E29" s="115" t="str">
        <f t="shared" si="8"/>
        <v/>
      </c>
      <c r="F29" s="114" t="s">
        <v>7</v>
      </c>
      <c r="G29" s="114" t="s">
        <v>7</v>
      </c>
      <c r="I29" s="114" t="str">
        <f t="shared" ref="I29:I31" si="13">IF(H29&gt;"",COUNTIF(F29:F112,H29),
   "")</f>
        <v/>
      </c>
      <c r="J29" s="115" t="str">
        <f t="shared" si="10"/>
        <v/>
      </c>
      <c r="K29" s="122" t="s">
        <v>7</v>
      </c>
      <c r="L29" s="122" t="s">
        <v>7</v>
      </c>
      <c r="N29" s="114" t="str">
        <f t="shared" si="11"/>
        <v/>
      </c>
      <c r="O29" s="115" t="str">
        <f t="shared" si="12"/>
        <v/>
      </c>
    </row>
    <row r="30" ht="14.25" customHeight="1">
      <c r="A30" s="114" t="str">
        <f t="array" ref="A30:A41">IF(February!M13:M24=0,"",
   February!M13:M24)</f>
        <v>House Bills</v>
      </c>
      <c r="B30" s="115">
        <f t="array" ref="B30:B41">IF(February!T13:T24&gt;0,February!T13:T24,
   "")</f>
        <v>100</v>
      </c>
      <c r="D30" s="114" t="str">
        <f t="shared" si="7"/>
        <v/>
      </c>
      <c r="E30" s="115" t="str">
        <f t="shared" si="8"/>
        <v/>
      </c>
      <c r="F30" s="114" t="s">
        <v>7</v>
      </c>
      <c r="G30" s="114" t="s">
        <v>7</v>
      </c>
      <c r="I30" s="114" t="str">
        <f t="shared" si="13"/>
        <v/>
      </c>
      <c r="J30" s="115" t="str">
        <f t="shared" si="10"/>
        <v/>
      </c>
      <c r="K30" s="122" t="s">
        <v>7</v>
      </c>
      <c r="L30" s="122" t="s">
        <v>7</v>
      </c>
      <c r="N30" s="114" t="str">
        <f t="shared" si="11"/>
        <v/>
      </c>
      <c r="O30" s="115" t="str">
        <f t="shared" si="12"/>
        <v/>
      </c>
    </row>
    <row r="31" ht="14.25" customHeight="1">
      <c r="A31" s="114" t="s">
        <v>36</v>
      </c>
      <c r="B31" s="114">
        <v>100.0</v>
      </c>
      <c r="D31" s="114" t="str">
        <f t="shared" si="7"/>
        <v/>
      </c>
      <c r="E31" s="115" t="str">
        <f t="shared" si="8"/>
        <v/>
      </c>
      <c r="F31" s="114" t="s">
        <v>7</v>
      </c>
      <c r="G31" s="114" t="s">
        <v>7</v>
      </c>
      <c r="I31" s="114" t="str">
        <f t="shared" si="13"/>
        <v/>
      </c>
      <c r="J31" s="115" t="str">
        <f t="shared" si="10"/>
        <v/>
      </c>
      <c r="K31" s="122" t="s">
        <v>7</v>
      </c>
      <c r="L31" s="122" t="s">
        <v>7</v>
      </c>
      <c r="N31" s="114" t="str">
        <f t="shared" si="11"/>
        <v/>
      </c>
      <c r="O31" s="115" t="str">
        <f t="shared" si="12"/>
        <v/>
      </c>
    </row>
    <row r="32" ht="14.25" customHeight="1">
      <c r="A32" s="114" t="s">
        <v>2</v>
      </c>
      <c r="B32" s="114">
        <v>14.0</v>
      </c>
      <c r="D32" s="114" t="str">
        <f t="shared" si="7"/>
        <v/>
      </c>
      <c r="E32" s="115" t="str">
        <f t="shared" si="8"/>
        <v/>
      </c>
      <c r="F32" s="114" t="s">
        <v>7</v>
      </c>
      <c r="G32" s="114" t="s">
        <v>7</v>
      </c>
      <c r="I32" s="114" t="str">
        <f>IF(H32&gt;"",COUNTIF(F33:F115,H32),
   "")</f>
        <v/>
      </c>
      <c r="J32" s="115" t="str">
        <f t="shared" si="10"/>
        <v/>
      </c>
      <c r="K32" s="122" t="str">
        <f t="array" ref="K32:K38">IF(March!M3:M11=0,"",
   March!M3:M11)</f>
        <v>Payment</v>
      </c>
      <c r="L32" s="122">
        <f t="array" ref="L32:L38">IF(March!T3:T11=0,"",
   March!T3:T11)</f>
        <v>1500</v>
      </c>
      <c r="N32" s="114" t="str">
        <f t="shared" si="11"/>
        <v/>
      </c>
      <c r="O32" s="115" t="str">
        <f t="shared" si="12"/>
        <v/>
      </c>
    </row>
    <row r="33" ht="14.25" customHeight="1">
      <c r="A33" s="114" t="s">
        <v>7</v>
      </c>
      <c r="B33" s="114" t="s">
        <v>7</v>
      </c>
      <c r="D33" s="114" t="str">
        <f t="shared" si="7"/>
        <v/>
      </c>
      <c r="E33" s="115" t="str">
        <f t="shared" si="8"/>
        <v/>
      </c>
      <c r="F33" s="114" t="str">
        <f t="array" ref="F33:F39">IF(March!AB13:AB20=0,"",
   March!AB13:AB20)</f>
        <v>Hanging Out</v>
      </c>
      <c r="G33" s="115">
        <f t="array" ref="G33:G39">IF(March!AJ13:AJ20&gt;0,March!AJ13:AJ20,
   "")</f>
        <v>50</v>
      </c>
      <c r="I33" s="114" t="str">
        <f t="shared" ref="I33:I37" si="14">IF(H33&gt;"",COUNTIF(F33:F116,H33),
   "")</f>
        <v/>
      </c>
      <c r="J33" s="115" t="str">
        <f t="shared" si="10"/>
        <v/>
      </c>
      <c r="K33" s="122" t="s">
        <v>4</v>
      </c>
      <c r="L33" s="122">
        <v>122.38159999999993</v>
      </c>
      <c r="N33" s="114" t="str">
        <f t="shared" si="11"/>
        <v/>
      </c>
      <c r="O33" s="115" t="str">
        <f t="shared" si="12"/>
        <v/>
      </c>
    </row>
    <row r="34" ht="14.25" customHeight="1">
      <c r="A34" s="114" t="s">
        <v>7</v>
      </c>
      <c r="B34" s="114" t="s">
        <v>7</v>
      </c>
      <c r="D34" s="114" t="str">
        <f t="shared" si="7"/>
        <v/>
      </c>
      <c r="E34" s="115" t="str">
        <f t="shared" si="8"/>
        <v/>
      </c>
      <c r="F34" s="114" t="s">
        <v>3</v>
      </c>
      <c r="G34" s="114">
        <v>750.0</v>
      </c>
      <c r="I34" s="114" t="str">
        <f t="shared" si="14"/>
        <v/>
      </c>
      <c r="J34" s="115" t="str">
        <f t="shared" si="10"/>
        <v/>
      </c>
      <c r="K34" s="122" t="s">
        <v>8</v>
      </c>
      <c r="L34" s="122">
        <v>5.8961936</v>
      </c>
      <c r="N34" s="114" t="str">
        <f t="shared" si="11"/>
        <v/>
      </c>
      <c r="O34" s="115" t="str">
        <f t="shared" si="12"/>
        <v/>
      </c>
    </row>
    <row r="35" ht="14.25" customHeight="1">
      <c r="A35" s="114" t="s">
        <v>7</v>
      </c>
      <c r="B35" s="114" t="s">
        <v>7</v>
      </c>
      <c r="D35" s="114" t="str">
        <f t="shared" si="7"/>
        <v/>
      </c>
      <c r="E35" s="115" t="str">
        <f t="shared" si="8"/>
        <v/>
      </c>
      <c r="F35" s="114" t="s">
        <v>7</v>
      </c>
      <c r="G35" s="114" t="s">
        <v>7</v>
      </c>
      <c r="I35" s="114" t="str">
        <f t="shared" si="14"/>
        <v/>
      </c>
      <c r="J35" s="115" t="str">
        <f t="shared" si="10"/>
        <v/>
      </c>
      <c r="K35" s="122" t="s">
        <v>9</v>
      </c>
      <c r="L35" s="122" t="s">
        <v>7</v>
      </c>
      <c r="N35" s="114" t="str">
        <f t="shared" si="11"/>
        <v/>
      </c>
      <c r="O35" s="115" t="str">
        <f t="shared" si="12"/>
        <v/>
      </c>
    </row>
    <row r="36" ht="14.25" customHeight="1">
      <c r="A36" s="114" t="s">
        <v>7</v>
      </c>
      <c r="B36" s="114" t="s">
        <v>7</v>
      </c>
      <c r="D36" s="114" t="str">
        <f t="shared" si="7"/>
        <v/>
      </c>
      <c r="E36" s="115" t="str">
        <f t="shared" si="8"/>
        <v/>
      </c>
      <c r="F36" s="114" t="s">
        <v>7</v>
      </c>
      <c r="G36" s="114" t="s">
        <v>7</v>
      </c>
      <c r="I36" s="114" t="str">
        <f t="shared" si="14"/>
        <v/>
      </c>
      <c r="J36" s="115" t="str">
        <f t="shared" si="10"/>
        <v/>
      </c>
      <c r="K36" s="122" t="s">
        <v>7</v>
      </c>
      <c r="L36" s="122" t="s">
        <v>7</v>
      </c>
      <c r="N36" s="114" t="str">
        <f t="shared" si="11"/>
        <v/>
      </c>
      <c r="O36" s="115" t="str">
        <f t="shared" si="12"/>
        <v/>
      </c>
    </row>
    <row r="37" ht="14.25" customHeight="1">
      <c r="A37" s="114" t="s">
        <v>7</v>
      </c>
      <c r="B37" s="114" t="s">
        <v>7</v>
      </c>
      <c r="D37" s="114" t="str">
        <f t="shared" si="7"/>
        <v/>
      </c>
      <c r="E37" s="115" t="str">
        <f t="shared" si="8"/>
        <v/>
      </c>
      <c r="F37" s="114" t="s">
        <v>7</v>
      </c>
      <c r="G37" s="114" t="s">
        <v>7</v>
      </c>
      <c r="I37" s="114" t="str">
        <f t="shared" si="14"/>
        <v/>
      </c>
      <c r="J37" s="115" t="str">
        <f t="shared" si="10"/>
        <v/>
      </c>
      <c r="K37" s="122" t="s">
        <v>7</v>
      </c>
      <c r="L37" s="122" t="s">
        <v>7</v>
      </c>
      <c r="N37" s="114" t="str">
        <f t="shared" si="11"/>
        <v/>
      </c>
      <c r="O37" s="115" t="str">
        <f t="shared" si="12"/>
        <v/>
      </c>
    </row>
    <row r="38" ht="14.25" customHeight="1">
      <c r="A38" s="114" t="s">
        <v>7</v>
      </c>
      <c r="B38" s="114" t="s">
        <v>7</v>
      </c>
      <c r="E38" s="123"/>
      <c r="F38" s="114" t="s">
        <v>7</v>
      </c>
      <c r="G38" s="114" t="s">
        <v>7</v>
      </c>
      <c r="J38" s="115"/>
      <c r="K38" s="122" t="s">
        <v>7</v>
      </c>
      <c r="L38" s="122" t="s">
        <v>7</v>
      </c>
      <c r="O38" s="115"/>
    </row>
    <row r="39" ht="14.25" customHeight="1">
      <c r="A39" s="114" t="s">
        <v>7</v>
      </c>
      <c r="B39" s="114" t="s">
        <v>7</v>
      </c>
      <c r="E39" s="123"/>
      <c r="F39" s="114" t="s">
        <v>7</v>
      </c>
      <c r="G39" s="114" t="s">
        <v>7</v>
      </c>
      <c r="J39" s="115"/>
      <c r="K39" s="122" t="str">
        <f t="array" ref="K39:K45">IF(April!M3:M11=0,"",
   April!M3:M11)</f>
        <v>Payment</v>
      </c>
      <c r="L39" s="122">
        <f t="array" ref="L39:L45">IF(April!T3:T11=0,"",
   April!T3:T11)</f>
        <v>1500</v>
      </c>
      <c r="O39" s="115"/>
    </row>
    <row r="40" ht="14.25" customHeight="1">
      <c r="A40" s="114" t="s">
        <v>7</v>
      </c>
      <c r="B40" s="114" t="s">
        <v>7</v>
      </c>
      <c r="E40" s="123"/>
      <c r="F40" s="114" t="str">
        <f t="array" ref="F40:F46">IF(April!AB13:AB20=0,"",
   April!AB13:AB20)</f>
        <v>Hanging Out</v>
      </c>
      <c r="G40" s="115">
        <f t="array" ref="G40:G46">IF(April!AJ13:AJ20&gt;0,April!AJ13:AJ20,
   "")</f>
        <v>50</v>
      </c>
      <c r="J40" s="115"/>
      <c r="K40" s="122" t="s">
        <v>4</v>
      </c>
      <c r="L40" s="122">
        <v>159.5322320319999</v>
      </c>
      <c r="O40" s="115"/>
    </row>
    <row r="41" ht="14.25" customHeight="1">
      <c r="A41" s="114" t="s">
        <v>7</v>
      </c>
      <c r="B41" s="114" t="s">
        <v>7</v>
      </c>
      <c r="E41" s="123"/>
      <c r="F41" s="114" t="s">
        <v>7</v>
      </c>
      <c r="G41" s="114" t="s">
        <v>7</v>
      </c>
      <c r="J41" s="115"/>
      <c r="K41" s="122" t="s">
        <v>8</v>
      </c>
      <c r="L41" s="122">
        <v>12.672152130559999</v>
      </c>
      <c r="O41" s="115"/>
    </row>
    <row r="42" ht="14.25" customHeight="1">
      <c r="A42" s="114" t="str">
        <f t="array" ref="A42:A53">IF(March!M13:M24=0,"",
   March!M13:M24)</f>
        <v>House Bills</v>
      </c>
      <c r="B42" s="115">
        <f t="array" ref="B42:B53">IF(March!T13:T24&gt;0,March!T13:T24,
   "")</f>
        <v>100</v>
      </c>
      <c r="E42" s="123"/>
      <c r="F42" s="114" t="s">
        <v>7</v>
      </c>
      <c r="G42" s="114" t="s">
        <v>7</v>
      </c>
      <c r="J42" s="115"/>
      <c r="K42" s="114" t="s">
        <v>9</v>
      </c>
      <c r="L42" s="114" t="s">
        <v>7</v>
      </c>
      <c r="O42" s="115"/>
    </row>
    <row r="43" ht="14.25" customHeight="1">
      <c r="A43" s="114" t="s">
        <v>36</v>
      </c>
      <c r="B43" s="114">
        <v>100.0</v>
      </c>
      <c r="E43" s="123"/>
      <c r="F43" s="114" t="s">
        <v>7</v>
      </c>
      <c r="G43" s="114" t="s">
        <v>7</v>
      </c>
      <c r="J43" s="115"/>
      <c r="K43" s="114" t="s">
        <v>7</v>
      </c>
      <c r="L43" s="114" t="s">
        <v>7</v>
      </c>
      <c r="O43" s="115"/>
    </row>
    <row r="44" ht="14.25" customHeight="1">
      <c r="A44" s="114" t="s">
        <v>2</v>
      </c>
      <c r="B44" s="114">
        <v>14.0</v>
      </c>
      <c r="F44" s="114" t="s">
        <v>7</v>
      </c>
      <c r="G44" s="114" t="s">
        <v>7</v>
      </c>
      <c r="K44" s="114" t="s">
        <v>7</v>
      </c>
      <c r="L44" s="114" t="s">
        <v>7</v>
      </c>
    </row>
    <row r="45" ht="14.25" customHeight="1">
      <c r="A45" s="114" t="s">
        <v>7</v>
      </c>
      <c r="B45" s="114" t="s">
        <v>7</v>
      </c>
      <c r="F45" s="114" t="s">
        <v>7</v>
      </c>
      <c r="G45" s="114" t="s">
        <v>7</v>
      </c>
      <c r="K45" s="114" t="s">
        <v>7</v>
      </c>
      <c r="L45" s="114" t="s">
        <v>7</v>
      </c>
    </row>
    <row r="46" ht="14.25" customHeight="1">
      <c r="A46" s="114" t="s">
        <v>7</v>
      </c>
      <c r="B46" s="114" t="s">
        <v>7</v>
      </c>
      <c r="F46" s="114" t="s">
        <v>7</v>
      </c>
      <c r="G46" s="114" t="s">
        <v>7</v>
      </c>
      <c r="K46" s="122" t="str">
        <f t="array" ref="K46:K52">IF(May!M3:M11=0,"",
   May!M3:M11)</f>
        <v>Payment</v>
      </c>
      <c r="L46" s="122">
        <f t="array" ref="L46:L52">IF(May!T3:T11=0,"",
   May!T3:T11)</f>
        <v>1500</v>
      </c>
    </row>
    <row r="47" ht="14.25" customHeight="1">
      <c r="A47" s="114" t="s">
        <v>7</v>
      </c>
      <c r="B47" s="114" t="s">
        <v>7</v>
      </c>
      <c r="F47" s="114" t="str">
        <f t="array" ref="F47:F53">IF(May!AB13:AB20=0,"",
   May!AB13:AB20)</f>
        <v>Hanging Out</v>
      </c>
      <c r="G47" s="115">
        <f t="array" ref="G47:G53">IF(May!AJ13:AJ20&gt;0,May!AJ13:AJ20,
   "")</f>
        <v>50</v>
      </c>
      <c r="K47" s="122" t="s">
        <v>4</v>
      </c>
      <c r="L47" s="122">
        <v>217.88496451576316</v>
      </c>
    </row>
    <row r="48" ht="14.25" customHeight="1">
      <c r="A48" s="114" t="s">
        <v>7</v>
      </c>
      <c r="B48" s="114" t="s">
        <v>7</v>
      </c>
      <c r="F48" s="114" t="s">
        <v>7</v>
      </c>
      <c r="G48" s="114" t="s">
        <v>7</v>
      </c>
      <c r="K48" s="122" t="s">
        <v>8</v>
      </c>
      <c r="L48" s="122">
        <v>30.71286862019617</v>
      </c>
    </row>
    <row r="49" ht="14.25" customHeight="1">
      <c r="A49" s="114" t="s">
        <v>7</v>
      </c>
      <c r="B49" s="114" t="s">
        <v>7</v>
      </c>
      <c r="F49" s="114" t="s">
        <v>7</v>
      </c>
      <c r="G49" s="114" t="s">
        <v>7</v>
      </c>
      <c r="K49" s="122" t="s">
        <v>9</v>
      </c>
      <c r="L49" s="122" t="s">
        <v>7</v>
      </c>
    </row>
    <row r="50" ht="14.25" customHeight="1">
      <c r="A50" s="114" t="s">
        <v>7</v>
      </c>
      <c r="B50" s="114" t="s">
        <v>7</v>
      </c>
      <c r="F50" s="114" t="s">
        <v>7</v>
      </c>
      <c r="G50" s="114" t="s">
        <v>7</v>
      </c>
      <c r="K50" s="122" t="s">
        <v>7</v>
      </c>
      <c r="L50" s="122" t="s">
        <v>7</v>
      </c>
    </row>
    <row r="51" ht="14.25" customHeight="1">
      <c r="A51" s="114" t="s">
        <v>7</v>
      </c>
      <c r="B51" s="114" t="s">
        <v>7</v>
      </c>
      <c r="F51" s="114" t="s">
        <v>7</v>
      </c>
      <c r="G51" s="114" t="s">
        <v>7</v>
      </c>
      <c r="K51" s="114" t="s">
        <v>7</v>
      </c>
      <c r="L51" s="114" t="s">
        <v>7</v>
      </c>
    </row>
    <row r="52" ht="14.25" customHeight="1">
      <c r="A52" s="114" t="s">
        <v>7</v>
      </c>
      <c r="B52" s="114" t="s">
        <v>7</v>
      </c>
      <c r="F52" s="114" t="s">
        <v>7</v>
      </c>
      <c r="G52" s="114" t="s">
        <v>7</v>
      </c>
      <c r="K52" s="114" t="s">
        <v>7</v>
      </c>
      <c r="L52" s="114" t="s">
        <v>7</v>
      </c>
    </row>
    <row r="53" ht="14.25" customHeight="1">
      <c r="A53" s="114" t="s">
        <v>7</v>
      </c>
      <c r="B53" s="114" t="s">
        <v>7</v>
      </c>
      <c r="F53" s="114" t="s">
        <v>7</v>
      </c>
      <c r="G53" s="114" t="s">
        <v>7</v>
      </c>
      <c r="K53" s="122" t="str">
        <f t="array" ref="K53:K59">IF(June!M3:M11=0,"",
   June!M3:M11)</f>
        <v>Payment</v>
      </c>
      <c r="L53" s="122">
        <f t="array" ref="L53:L59">IF(June!T3:T11=0,"",
   June!T3:T11)</f>
        <v>1500</v>
      </c>
    </row>
    <row r="54" ht="14.25" customHeight="1">
      <c r="A54" s="114" t="str">
        <f t="array" ref="A54:A65">IF(April!M13:M24=0,"",
   April!M13:M24)</f>
        <v>House Bills</v>
      </c>
      <c r="B54" s="115">
        <f t="array" ref="B54:B65">IF(April!T13:T24&gt;0,April!T13:T24,
   "")</f>
        <v>100</v>
      </c>
      <c r="F54" s="114" t="str">
        <f t="array" ref="F54:F60">IF(May!AB13:AB20=0,"",
   May!AB13:AB20)</f>
        <v>Hanging Out</v>
      </c>
      <c r="G54" s="115">
        <f t="array" ref="G54:G60">IF(June!AJ13:AJ20&gt;0,June!AJ13:AJ20,
   "")</f>
        <v>50</v>
      </c>
      <c r="K54" s="122" t="s">
        <v>4</v>
      </c>
      <c r="L54" s="122">
        <v>252.1775016212706</v>
      </c>
    </row>
    <row r="55" ht="14.25" customHeight="1">
      <c r="A55" s="114" t="s">
        <v>36</v>
      </c>
      <c r="B55" s="114">
        <v>100.0</v>
      </c>
      <c r="F55" s="114" t="s">
        <v>7</v>
      </c>
      <c r="G55" s="114" t="s">
        <v>7</v>
      </c>
      <c r="K55" s="122" t="s">
        <v>8</v>
      </c>
      <c r="L55" s="122">
        <v>49.87409008163636</v>
      </c>
    </row>
    <row r="56" ht="14.25" customHeight="1">
      <c r="A56" s="114" t="s">
        <v>2</v>
      </c>
      <c r="B56" s="114">
        <v>14.0</v>
      </c>
      <c r="F56" s="114" t="s">
        <v>7</v>
      </c>
      <c r="G56" s="114" t="s">
        <v>7</v>
      </c>
      <c r="K56" s="122" t="s">
        <v>9</v>
      </c>
      <c r="L56" s="122" t="s">
        <v>7</v>
      </c>
    </row>
    <row r="57" ht="14.25" customHeight="1">
      <c r="A57" s="114" t="s">
        <v>7</v>
      </c>
      <c r="B57" s="114" t="s">
        <v>7</v>
      </c>
      <c r="F57" s="114" t="s">
        <v>7</v>
      </c>
      <c r="G57" s="114" t="s">
        <v>7</v>
      </c>
      <c r="K57" s="122" t="s">
        <v>7</v>
      </c>
      <c r="L57" s="122" t="s">
        <v>7</v>
      </c>
    </row>
    <row r="58" ht="14.25" customHeight="1">
      <c r="A58" s="114" t="s">
        <v>7</v>
      </c>
      <c r="B58" s="114" t="s">
        <v>7</v>
      </c>
      <c r="F58" s="114" t="s">
        <v>7</v>
      </c>
      <c r="G58" s="114" t="s">
        <v>7</v>
      </c>
      <c r="K58" s="122" t="s">
        <v>7</v>
      </c>
      <c r="L58" s="122" t="s">
        <v>7</v>
      </c>
    </row>
    <row r="59" ht="14.25" customHeight="1">
      <c r="A59" s="114" t="s">
        <v>7</v>
      </c>
      <c r="B59" s="114" t="s">
        <v>7</v>
      </c>
      <c r="F59" s="114" t="s">
        <v>7</v>
      </c>
      <c r="G59" s="114" t="s">
        <v>7</v>
      </c>
      <c r="K59" s="122" t="s">
        <v>7</v>
      </c>
      <c r="L59" s="122" t="s">
        <v>7</v>
      </c>
    </row>
    <row r="60" ht="14.25" customHeight="1">
      <c r="A60" s="114" t="s">
        <v>7</v>
      </c>
      <c r="B60" s="114" t="s">
        <v>7</v>
      </c>
      <c r="F60" s="114" t="s">
        <v>7</v>
      </c>
      <c r="G60" s="114" t="s">
        <v>7</v>
      </c>
      <c r="K60" s="122" t="str">
        <f t="array" ref="K60:K66">IF(July!M3:M11=0,"",
   July!M3:M11)</f>
        <v>Payment</v>
      </c>
      <c r="L60" s="122">
        <f t="array" ref="L60:L66">IF(July!T3:T11=0,"",
   July!T3:T11)</f>
        <v>1500</v>
      </c>
    </row>
    <row r="61" ht="14.25" customHeight="1">
      <c r="A61" s="114" t="s">
        <v>7</v>
      </c>
      <c r="B61" s="114" t="s">
        <v>7</v>
      </c>
      <c r="F61" s="114" t="str">
        <f t="array" ref="F61:F67">IF(May!AB13:AB20=0,"",
   May!AB13:AB20)</f>
        <v>Hanging Out</v>
      </c>
      <c r="G61" s="115">
        <f t="array" ref="G61:G67">IF(July!AJ13:AJ20&gt;0,July!AJ13:AJ20,
   "")</f>
        <v>50</v>
      </c>
      <c r="K61" s="122" t="s">
        <v>4</v>
      </c>
      <c r="L61" s="122">
        <v>264.4718660916684</v>
      </c>
    </row>
    <row r="62" ht="14.25" customHeight="1">
      <c r="A62" s="114" t="s">
        <v>7</v>
      </c>
      <c r="B62" s="114" t="s">
        <v>7</v>
      </c>
      <c r="F62" s="114" t="s">
        <v>7</v>
      </c>
      <c r="G62" s="114" t="s">
        <v>7</v>
      </c>
      <c r="K62" s="122" t="s">
        <v>8</v>
      </c>
      <c r="L62" s="122">
        <v>69.93045659975903</v>
      </c>
    </row>
    <row r="63" ht="14.25" customHeight="1">
      <c r="A63" s="114" t="s">
        <v>7</v>
      </c>
      <c r="B63" s="114" t="s">
        <v>7</v>
      </c>
      <c r="F63" s="114" t="s">
        <v>7</v>
      </c>
      <c r="G63" s="114" t="s">
        <v>7</v>
      </c>
      <c r="K63" s="122" t="s">
        <v>9</v>
      </c>
      <c r="L63" s="122" t="s">
        <v>7</v>
      </c>
    </row>
    <row r="64" ht="14.25" customHeight="1">
      <c r="A64" s="114" t="s">
        <v>7</v>
      </c>
      <c r="B64" s="114" t="s">
        <v>7</v>
      </c>
      <c r="F64" s="114" t="s">
        <v>7</v>
      </c>
      <c r="G64" s="114" t="s">
        <v>7</v>
      </c>
      <c r="K64" s="122" t="s">
        <v>7</v>
      </c>
      <c r="L64" s="122" t="s">
        <v>7</v>
      </c>
    </row>
    <row r="65" ht="14.25" customHeight="1">
      <c r="A65" s="114" t="s">
        <v>7</v>
      </c>
      <c r="B65" s="114" t="s">
        <v>7</v>
      </c>
      <c r="F65" s="114" t="s">
        <v>7</v>
      </c>
      <c r="G65" s="114" t="s">
        <v>7</v>
      </c>
      <c r="K65" s="114" t="s">
        <v>7</v>
      </c>
      <c r="L65" s="114" t="s">
        <v>7</v>
      </c>
    </row>
    <row r="66" ht="14.25" customHeight="1">
      <c r="A66" s="114" t="str">
        <f t="array" ref="A66:A77">IF(May!M13:M24=0,"",
   May!M13:M24)</f>
        <v>House Bills</v>
      </c>
      <c r="B66" s="115">
        <f t="array" ref="B66:B77">IF(May!T13:T24&gt;0,May!T13:T24,
   "")</f>
        <v>100</v>
      </c>
      <c r="F66" s="114" t="s">
        <v>7</v>
      </c>
      <c r="G66" s="114" t="s">
        <v>7</v>
      </c>
      <c r="K66" s="114" t="s">
        <v>7</v>
      </c>
      <c r="L66" s="114" t="s">
        <v>7</v>
      </c>
    </row>
    <row r="67" ht="14.25" customHeight="1">
      <c r="A67" s="114" t="s">
        <v>36</v>
      </c>
      <c r="B67" s="114">
        <v>100.0</v>
      </c>
      <c r="F67" s="114" t="s">
        <v>7</v>
      </c>
      <c r="G67" s="114" t="s">
        <v>7</v>
      </c>
      <c r="K67" s="122" t="str">
        <f t="array" ref="K67:K73">IF(August!M3:M11=0,"",
   August!M3:M11)</f>
        <v>Payment</v>
      </c>
      <c r="L67" s="122">
        <f t="array" ref="L67:L73">IF(August!T3:T11=0,"",
   August!T3:T11)</f>
        <v>1500</v>
      </c>
    </row>
    <row r="68" ht="14.25" customHeight="1">
      <c r="A68" s="114" t="s">
        <v>2</v>
      </c>
      <c r="B68" s="114">
        <v>14.0</v>
      </c>
      <c r="F68" s="114" t="str">
        <f t="array" ref="F68:F74">IF(May!AB13:AB20=0,"",
   May!AB13:AB20)</f>
        <v>Hanging Out</v>
      </c>
      <c r="G68" s="115">
        <f t="array" ref="G68:G74">IF(August!AJ13:AJ20&gt;0,August!AJ13:AJ20,
   "")</f>
        <v>50</v>
      </c>
      <c r="K68" s="122" t="s">
        <v>4</v>
      </c>
      <c r="L68" s="122">
        <v>271.9125342190283</v>
      </c>
    </row>
    <row r="69" ht="14.25" customHeight="1">
      <c r="A69" s="114" t="s">
        <v>7</v>
      </c>
      <c r="B69" s="114" t="s">
        <v>7</v>
      </c>
      <c r="F69" s="114" t="s">
        <v>7</v>
      </c>
      <c r="G69" s="114" t="s">
        <v>7</v>
      </c>
      <c r="K69" s="122" t="s">
        <v>8</v>
      </c>
      <c r="L69" s="122">
        <v>90.67237744076823</v>
      </c>
    </row>
    <row r="70" ht="14.25" customHeight="1">
      <c r="A70" s="114" t="s">
        <v>7</v>
      </c>
      <c r="B70" s="114" t="s">
        <v>7</v>
      </c>
      <c r="F70" s="114" t="s">
        <v>7</v>
      </c>
      <c r="G70" s="114" t="s">
        <v>7</v>
      </c>
      <c r="K70" s="114" t="s">
        <v>9</v>
      </c>
      <c r="L70" s="114" t="s">
        <v>7</v>
      </c>
    </row>
    <row r="71" ht="14.25" customHeight="1">
      <c r="A71" s="114" t="s">
        <v>7</v>
      </c>
      <c r="B71" s="114" t="s">
        <v>7</v>
      </c>
      <c r="F71" s="114" t="s">
        <v>7</v>
      </c>
      <c r="G71" s="114" t="s">
        <v>7</v>
      </c>
      <c r="K71" s="114" t="s">
        <v>7</v>
      </c>
      <c r="L71" s="114" t="s">
        <v>7</v>
      </c>
    </row>
    <row r="72" ht="14.25" customHeight="1">
      <c r="A72" s="114" t="s">
        <v>7</v>
      </c>
      <c r="B72" s="114" t="s">
        <v>7</v>
      </c>
      <c r="F72" s="114" t="s">
        <v>7</v>
      </c>
      <c r="G72" s="114" t="s">
        <v>7</v>
      </c>
      <c r="K72" s="114" t="s">
        <v>7</v>
      </c>
      <c r="L72" s="114" t="s">
        <v>7</v>
      </c>
    </row>
    <row r="73" ht="14.25" customHeight="1">
      <c r="A73" s="114" t="s">
        <v>7</v>
      </c>
      <c r="B73" s="114" t="s">
        <v>7</v>
      </c>
      <c r="F73" s="114" t="s">
        <v>7</v>
      </c>
      <c r="G73" s="114" t="s">
        <v>7</v>
      </c>
      <c r="K73" s="114" t="s">
        <v>7</v>
      </c>
      <c r="L73" s="114" t="s">
        <v>7</v>
      </c>
    </row>
    <row r="74" ht="14.25" customHeight="1">
      <c r="A74" s="114" t="s">
        <v>7</v>
      </c>
      <c r="B74" s="114" t="s">
        <v>7</v>
      </c>
      <c r="F74" s="114" t="s">
        <v>7</v>
      </c>
      <c r="G74" s="114" t="s">
        <v>7</v>
      </c>
      <c r="K74" s="122" t="str">
        <f t="array" ref="K74:K80">IF(September!M3:M11=0,"",
   September!M3:M11)</f>
        <v>Payment</v>
      </c>
      <c r="L74" s="122">
        <f t="array" ref="L74:L80">IF(September!T3:T11=0,"",
   September!T3:T11)</f>
        <v>1500</v>
      </c>
    </row>
    <row r="75" ht="14.25" customHeight="1">
      <c r="A75" s="114" t="s">
        <v>7</v>
      </c>
      <c r="B75" s="114" t="s">
        <v>7</v>
      </c>
      <c r="F75" s="114" t="str">
        <f t="array" ref="F75:F81">IF(September!AB13:AB20=0,"",
   September!AB13:AB20)</f>
        <v>Hanging Out</v>
      </c>
      <c r="G75" s="115">
        <f t="array" ref="G75:G81">IF(September!AJ13:AJ20&gt;0,September!AJ13:AJ20,
   "")</f>
        <v>50</v>
      </c>
      <c r="K75" s="122" t="s">
        <v>4</v>
      </c>
      <c r="L75" s="122">
        <v>297.02037879835115</v>
      </c>
    </row>
    <row r="76" ht="14.25" customHeight="1">
      <c r="A76" s="114" t="s">
        <v>7</v>
      </c>
      <c r="B76" s="114" t="s">
        <v>7</v>
      </c>
      <c r="F76" s="114" t="s">
        <v>7</v>
      </c>
      <c r="G76" s="114" t="s">
        <v>7</v>
      </c>
      <c r="K76" s="122" t="s">
        <v>8</v>
      </c>
      <c r="L76" s="122">
        <v>112.0672437318953</v>
      </c>
    </row>
    <row r="77" ht="14.25" customHeight="1">
      <c r="A77" s="114" t="s">
        <v>7</v>
      </c>
      <c r="B77" s="114" t="s">
        <v>7</v>
      </c>
      <c r="F77" s="114" t="s">
        <v>7</v>
      </c>
      <c r="G77" s="114" t="s">
        <v>7</v>
      </c>
      <c r="K77" s="122" t="s">
        <v>9</v>
      </c>
      <c r="L77" s="122" t="s">
        <v>7</v>
      </c>
    </row>
    <row r="78" ht="14.25" customHeight="1">
      <c r="A78" s="114" t="str">
        <f t="array" ref="A78:A89">IF(June!M13:M24=0,"",
   June!M13:M24)</f>
        <v>House Bills</v>
      </c>
      <c r="B78" s="115">
        <f t="array" ref="B78:B89">IF(June!T13:T24&gt;0,June!T13:T24,
   "")</f>
        <v>100</v>
      </c>
      <c r="F78" s="114" t="s">
        <v>7</v>
      </c>
      <c r="G78" s="114" t="s">
        <v>7</v>
      </c>
      <c r="K78" s="114" t="s">
        <v>7</v>
      </c>
      <c r="L78" s="114" t="s">
        <v>7</v>
      </c>
    </row>
    <row r="79" ht="14.25" customHeight="1">
      <c r="A79" s="114" t="s">
        <v>36</v>
      </c>
      <c r="B79" s="114">
        <v>100.0</v>
      </c>
      <c r="F79" s="114" t="s">
        <v>7</v>
      </c>
      <c r="G79" s="114" t="s">
        <v>7</v>
      </c>
      <c r="K79" s="114" t="s">
        <v>7</v>
      </c>
      <c r="L79" s="114" t="s">
        <v>7</v>
      </c>
    </row>
    <row r="80" ht="14.25" customHeight="1">
      <c r="A80" s="114" t="s">
        <v>2</v>
      </c>
      <c r="B80" s="114">
        <v>14.0</v>
      </c>
      <c r="F80" s="114" t="s">
        <v>7</v>
      </c>
      <c r="G80" s="114" t="s">
        <v>7</v>
      </c>
      <c r="K80" s="114" t="s">
        <v>7</v>
      </c>
      <c r="L80" s="114" t="s">
        <v>7</v>
      </c>
    </row>
    <row r="81" ht="14.25" customHeight="1">
      <c r="A81" s="114" t="s">
        <v>7</v>
      </c>
      <c r="B81" s="114" t="s">
        <v>7</v>
      </c>
      <c r="F81" s="114" t="s">
        <v>7</v>
      </c>
      <c r="G81" s="114" t="s">
        <v>7</v>
      </c>
      <c r="K81" s="122" t="str">
        <f t="array" ref="K81:K87">IF(October!M3:M11=0,"",
   October!M3:M11)</f>
        <v>Payment</v>
      </c>
      <c r="L81" s="122">
        <f t="array" ref="L81:L87">IF(October!T3:T11=0,"",
   October!T3:T11)</f>
        <v>1500</v>
      </c>
    </row>
    <row r="82" ht="14.25" customHeight="1">
      <c r="A82" s="114" t="s">
        <v>7</v>
      </c>
      <c r="B82" s="114" t="s">
        <v>7</v>
      </c>
      <c r="F82" s="114" t="str">
        <f t="array" ref="F82:F88">IF(October!AB13:AB20=0,"",
   October!AB13:AB20)</f>
        <v>Hanging Out</v>
      </c>
      <c r="G82" s="115">
        <f t="array" ref="G82:G88">IF(October!AJ13:AJ20&gt;0,October!AJ13:AJ20,
   "")</f>
        <v>50</v>
      </c>
      <c r="K82" s="122" t="s">
        <v>4</v>
      </c>
      <c r="L82" s="122">
        <v>308.1810294072591</v>
      </c>
    </row>
    <row r="83" ht="14.25" customHeight="1">
      <c r="A83" s="114" t="s">
        <v>7</v>
      </c>
      <c r="B83" s="114" t="s">
        <v>7</v>
      </c>
      <c r="F83" s="114" t="s">
        <v>7</v>
      </c>
      <c r="G83" s="114" t="s">
        <v>7</v>
      </c>
      <c r="K83" s="122" t="s">
        <v>8</v>
      </c>
      <c r="L83" s="122">
        <v>134.32162793309564</v>
      </c>
    </row>
    <row r="84" ht="14.25" customHeight="1">
      <c r="A84" s="114" t="s">
        <v>7</v>
      </c>
      <c r="B84" s="114" t="s">
        <v>7</v>
      </c>
      <c r="F84" s="114" t="s">
        <v>7</v>
      </c>
      <c r="G84" s="114" t="s">
        <v>7</v>
      </c>
      <c r="K84" s="122" t="s">
        <v>9</v>
      </c>
      <c r="L84" s="122" t="s">
        <v>7</v>
      </c>
    </row>
    <row r="85" ht="14.25" customHeight="1">
      <c r="A85" s="114" t="s">
        <v>7</v>
      </c>
      <c r="B85" s="114" t="s">
        <v>7</v>
      </c>
      <c r="F85" s="114" t="s">
        <v>7</v>
      </c>
      <c r="G85" s="114" t="s">
        <v>7</v>
      </c>
      <c r="K85" s="122" t="s">
        <v>7</v>
      </c>
      <c r="L85" s="122" t="s">
        <v>7</v>
      </c>
    </row>
    <row r="86" ht="14.25" customHeight="1">
      <c r="A86" s="114" t="s">
        <v>7</v>
      </c>
      <c r="B86" s="114" t="s">
        <v>7</v>
      </c>
      <c r="F86" s="114" t="s">
        <v>7</v>
      </c>
      <c r="G86" s="114" t="s">
        <v>7</v>
      </c>
      <c r="K86" s="114" t="s">
        <v>7</v>
      </c>
      <c r="L86" s="114" t="s">
        <v>7</v>
      </c>
    </row>
    <row r="87" ht="14.25" customHeight="1">
      <c r="A87" s="114" t="s">
        <v>7</v>
      </c>
      <c r="B87" s="114" t="s">
        <v>7</v>
      </c>
      <c r="F87" s="114" t="s">
        <v>7</v>
      </c>
      <c r="G87" s="114" t="s">
        <v>7</v>
      </c>
      <c r="K87" s="114" t="s">
        <v>7</v>
      </c>
      <c r="L87" s="114" t="s">
        <v>7</v>
      </c>
    </row>
    <row r="88" ht="14.25" customHeight="1">
      <c r="A88" s="114" t="s">
        <v>7</v>
      </c>
      <c r="B88" s="114" t="s">
        <v>7</v>
      </c>
      <c r="F88" s="114" t="s">
        <v>7</v>
      </c>
      <c r="G88" s="114" t="s">
        <v>7</v>
      </c>
      <c r="K88" s="122" t="str">
        <f t="array" ref="K88:K94">IF(November!M3:M11=0,"",
   November!M3:M11)</f>
        <v>Payment</v>
      </c>
      <c r="L88" s="122">
        <f t="array" ref="L88:L94">IF(November!T3:T11=0,"",
   November!T3:T11)</f>
        <v>1500</v>
      </c>
    </row>
    <row r="89" ht="14.25" customHeight="1">
      <c r="A89" s="114" t="s">
        <v>7</v>
      </c>
      <c r="B89" s="114" t="s">
        <v>7</v>
      </c>
      <c r="F89" s="114" t="str">
        <f t="array" ref="F89:F95">IF(November!AB13:AB20=0,"",
   November!AB13:AB20)</f>
        <v>Hanging Out</v>
      </c>
      <c r="G89" s="115">
        <f t="array" ref="G89:G95">IF(November!AJ13:AJ20&gt;0,November!AJ13:AJ20,
   "")</f>
        <v>50</v>
      </c>
      <c r="K89" s="122" t="s">
        <v>4</v>
      </c>
      <c r="L89" s="122">
        <v>316.200637761685</v>
      </c>
    </row>
    <row r="90" ht="14.25" customHeight="1">
      <c r="A90" s="114" t="str">
        <f t="array" ref="A90:A101">IF(July!M13:M24=0,"",
   July!M13:M24)</f>
        <v>House Bills</v>
      </c>
      <c r="B90" s="115">
        <f t="array" ref="B90:B101">IF(July!T13:T24&gt;0,July!T13:T24,
   "")</f>
        <v>100</v>
      </c>
      <c r="F90" s="114" t="s">
        <v>7</v>
      </c>
      <c r="G90" s="114" t="s">
        <v>7</v>
      </c>
      <c r="K90" s="122" t="s">
        <v>8</v>
      </c>
      <c r="L90" s="122">
        <v>157.3108090063314</v>
      </c>
    </row>
    <row r="91" ht="14.25" customHeight="1">
      <c r="A91" s="114" t="s">
        <v>36</v>
      </c>
      <c r="B91" s="114">
        <v>100.0</v>
      </c>
      <c r="F91" s="114" t="s">
        <v>7</v>
      </c>
      <c r="G91" s="114" t="s">
        <v>7</v>
      </c>
      <c r="K91" s="122" t="s">
        <v>9</v>
      </c>
      <c r="L91" s="122" t="s">
        <v>7</v>
      </c>
    </row>
    <row r="92" ht="14.25" customHeight="1">
      <c r="A92" s="114" t="s">
        <v>2</v>
      </c>
      <c r="B92" s="114">
        <v>14.0</v>
      </c>
      <c r="F92" s="114" t="s">
        <v>7</v>
      </c>
      <c r="G92" s="114" t="s">
        <v>7</v>
      </c>
      <c r="K92" s="122" t="s">
        <v>7</v>
      </c>
      <c r="L92" s="122" t="s">
        <v>7</v>
      </c>
    </row>
    <row r="93" ht="14.25" customHeight="1">
      <c r="A93" s="114" t="s">
        <v>7</v>
      </c>
      <c r="B93" s="114" t="s">
        <v>7</v>
      </c>
      <c r="F93" s="114" t="s">
        <v>7</v>
      </c>
      <c r="G93" s="114" t="s">
        <v>7</v>
      </c>
      <c r="K93" s="114" t="s">
        <v>7</v>
      </c>
      <c r="L93" s="114" t="s">
        <v>7</v>
      </c>
    </row>
    <row r="94" ht="14.25" customHeight="1">
      <c r="A94" s="114" t="s">
        <v>7</v>
      </c>
      <c r="B94" s="114" t="s">
        <v>7</v>
      </c>
      <c r="F94" s="114" t="s">
        <v>7</v>
      </c>
      <c r="G94" s="114" t="s">
        <v>7</v>
      </c>
      <c r="K94" s="114" t="s">
        <v>7</v>
      </c>
      <c r="L94" s="114" t="s">
        <v>7</v>
      </c>
    </row>
    <row r="95" ht="14.25" customHeight="1">
      <c r="A95" s="114" t="s">
        <v>7</v>
      </c>
      <c r="B95" s="114" t="s">
        <v>7</v>
      </c>
      <c r="F95" s="114" t="s">
        <v>7</v>
      </c>
      <c r="G95" s="114" t="s">
        <v>7</v>
      </c>
      <c r="K95" s="122" t="str">
        <f t="array" ref="K95:K101">IF(December!M3:M11=0,"",
   December!M3:M11)</f>
        <v>Payment</v>
      </c>
      <c r="L95" s="122">
        <f t="array" ref="L95:L101">IF(December!T3:T11=0,"",
   December!T3:T11)</f>
        <v>1500</v>
      </c>
    </row>
    <row r="96" ht="14.25" customHeight="1">
      <c r="A96" s="114" t="s">
        <v>7</v>
      </c>
      <c r="B96" s="114" t="s">
        <v>7</v>
      </c>
      <c r="F96" s="114" t="str">
        <f t="array" ref="F96:F102">IF(December!AB13:AB20=0,"",
   December!AB13:AB20)</f>
        <v>Hanging Out</v>
      </c>
      <c r="G96" s="115">
        <f t="array" ref="G96:G102">IF(December!AJ13:AJ20&gt;0,December!AJ13:AJ20,
   "")</f>
        <v>50</v>
      </c>
      <c r="K96" s="122" t="s">
        <v>4</v>
      </c>
      <c r="L96" s="122">
        <v>323.642747224324</v>
      </c>
    </row>
    <row r="97" ht="14.25" customHeight="1">
      <c r="A97" s="114" t="s">
        <v>7</v>
      </c>
      <c r="B97" s="114" t="s">
        <v>7</v>
      </c>
      <c r="F97" s="114" t="s">
        <v>7</v>
      </c>
      <c r="G97" s="114" t="s">
        <v>7</v>
      </c>
      <c r="K97" s="122" t="s">
        <v>8</v>
      </c>
      <c r="L97" s="122">
        <v>181.02182580071812</v>
      </c>
    </row>
    <row r="98" ht="14.25" customHeight="1">
      <c r="A98" s="114" t="s">
        <v>7</v>
      </c>
      <c r="B98" s="114" t="s">
        <v>7</v>
      </c>
      <c r="F98" s="114" t="s">
        <v>7</v>
      </c>
      <c r="G98" s="114" t="s">
        <v>7</v>
      </c>
      <c r="K98" s="122" t="s">
        <v>9</v>
      </c>
      <c r="L98" s="122" t="s">
        <v>7</v>
      </c>
    </row>
    <row r="99" ht="14.25" customHeight="1">
      <c r="A99" s="114" t="s">
        <v>7</v>
      </c>
      <c r="B99" s="114" t="s">
        <v>7</v>
      </c>
      <c r="F99" s="114" t="s">
        <v>7</v>
      </c>
      <c r="G99" s="114" t="s">
        <v>7</v>
      </c>
      <c r="K99" s="122" t="s">
        <v>7</v>
      </c>
      <c r="L99" s="122" t="s">
        <v>7</v>
      </c>
    </row>
    <row r="100" ht="14.25" customHeight="1">
      <c r="A100" s="114" t="s">
        <v>7</v>
      </c>
      <c r="B100" s="114" t="s">
        <v>7</v>
      </c>
      <c r="F100" s="114" t="s">
        <v>7</v>
      </c>
      <c r="G100" s="114" t="s">
        <v>7</v>
      </c>
      <c r="K100" s="114" t="s">
        <v>7</v>
      </c>
      <c r="L100" s="114" t="s">
        <v>7</v>
      </c>
    </row>
    <row r="101" ht="14.25" customHeight="1">
      <c r="A101" s="114" t="s">
        <v>7</v>
      </c>
      <c r="B101" s="114" t="s">
        <v>7</v>
      </c>
      <c r="F101" s="114" t="s">
        <v>7</v>
      </c>
      <c r="G101" s="114" t="s">
        <v>7</v>
      </c>
      <c r="K101" s="114" t="s">
        <v>7</v>
      </c>
      <c r="L101" s="114" t="s">
        <v>7</v>
      </c>
    </row>
    <row r="102" ht="14.25" customHeight="1">
      <c r="A102" s="114" t="str">
        <f t="array" ref="A102:A113">IF(August!M13:M24=0,"",
   August!M13:M24)</f>
        <v>House Bills</v>
      </c>
      <c r="B102" s="115">
        <f t="array" ref="B102:B113">IF(August!T13:T24&gt;0,August!T13:T24,
   "")</f>
        <v>100</v>
      </c>
      <c r="F102" s="114" t="s">
        <v>7</v>
      </c>
      <c r="G102" s="114" t="s">
        <v>7</v>
      </c>
    </row>
    <row r="103" ht="14.25" customHeight="1">
      <c r="A103" s="114" t="s">
        <v>36</v>
      </c>
      <c r="B103" s="114">
        <v>100.0</v>
      </c>
    </row>
    <row r="104" ht="14.25" customHeight="1">
      <c r="A104" s="114" t="s">
        <v>2</v>
      </c>
      <c r="B104" s="114">
        <v>14.0</v>
      </c>
    </row>
    <row r="105" ht="14.25" customHeight="1">
      <c r="A105" s="114" t="s">
        <v>7</v>
      </c>
      <c r="B105" s="114" t="s">
        <v>7</v>
      </c>
    </row>
    <row r="106" ht="14.25" customHeight="1">
      <c r="A106" s="114" t="s">
        <v>7</v>
      </c>
      <c r="B106" s="114" t="s">
        <v>7</v>
      </c>
    </row>
    <row r="107" ht="14.25" customHeight="1">
      <c r="A107" s="114" t="s">
        <v>7</v>
      </c>
      <c r="B107" s="114" t="s">
        <v>7</v>
      </c>
    </row>
    <row r="108" ht="14.25" customHeight="1">
      <c r="A108" s="114" t="s">
        <v>7</v>
      </c>
      <c r="B108" s="114" t="s">
        <v>7</v>
      </c>
    </row>
    <row r="109" ht="14.25" customHeight="1">
      <c r="A109" s="114" t="s">
        <v>7</v>
      </c>
      <c r="B109" s="114" t="s">
        <v>7</v>
      </c>
    </row>
    <row r="110" ht="14.25" customHeight="1">
      <c r="A110" s="114" t="s">
        <v>7</v>
      </c>
      <c r="B110" s="114" t="s">
        <v>7</v>
      </c>
    </row>
    <row r="111" ht="14.25" customHeight="1">
      <c r="A111" s="114" t="s">
        <v>7</v>
      </c>
      <c r="B111" s="114" t="s">
        <v>7</v>
      </c>
    </row>
    <row r="112" ht="14.25" customHeight="1">
      <c r="A112" s="114" t="s">
        <v>7</v>
      </c>
      <c r="B112" s="114" t="s">
        <v>7</v>
      </c>
    </row>
    <row r="113" ht="14.25" customHeight="1">
      <c r="A113" s="114" t="s">
        <v>7</v>
      </c>
      <c r="B113" s="114" t="s">
        <v>7</v>
      </c>
    </row>
    <row r="114" ht="14.25" customHeight="1">
      <c r="A114" s="114" t="str">
        <f t="array" ref="A114:A125">IF(September!M13:M24=0,"",
   September!M13:M24)</f>
        <v>House Bills</v>
      </c>
      <c r="B114" s="115">
        <f t="array" ref="B114:B125">IF(September!T13:T24&gt;0,September!T13:T24,
   "")</f>
        <v>100</v>
      </c>
    </row>
    <row r="115" ht="14.25" customHeight="1">
      <c r="A115" s="114" t="s">
        <v>36</v>
      </c>
      <c r="B115" s="114">
        <v>100.0</v>
      </c>
    </row>
    <row r="116" ht="14.25" customHeight="1">
      <c r="A116" s="114" t="s">
        <v>2</v>
      </c>
      <c r="B116" s="114">
        <v>14.0</v>
      </c>
    </row>
    <row r="117" ht="14.25" customHeight="1">
      <c r="A117" s="114" t="s">
        <v>7</v>
      </c>
      <c r="B117" s="114" t="s">
        <v>7</v>
      </c>
    </row>
    <row r="118" ht="14.25" customHeight="1">
      <c r="A118" s="114" t="s">
        <v>7</v>
      </c>
      <c r="B118" s="114" t="s">
        <v>7</v>
      </c>
    </row>
    <row r="119" ht="14.25" customHeight="1">
      <c r="A119" s="114" t="s">
        <v>7</v>
      </c>
      <c r="B119" s="114" t="s">
        <v>7</v>
      </c>
    </row>
    <row r="120" ht="14.25" customHeight="1">
      <c r="A120" s="114" t="s">
        <v>7</v>
      </c>
      <c r="B120" s="114" t="s">
        <v>7</v>
      </c>
    </row>
    <row r="121" ht="14.25" customHeight="1">
      <c r="A121" s="114" t="s">
        <v>7</v>
      </c>
      <c r="B121" s="114" t="s">
        <v>7</v>
      </c>
    </row>
    <row r="122" ht="14.25" customHeight="1">
      <c r="A122" s="114" t="s">
        <v>7</v>
      </c>
      <c r="B122" s="114" t="s">
        <v>7</v>
      </c>
    </row>
    <row r="123" ht="14.25" customHeight="1">
      <c r="A123" s="114" t="s">
        <v>7</v>
      </c>
      <c r="B123" s="114" t="s">
        <v>7</v>
      </c>
    </row>
    <row r="124" ht="14.25" customHeight="1">
      <c r="A124" s="114" t="s">
        <v>7</v>
      </c>
      <c r="B124" s="114" t="s">
        <v>7</v>
      </c>
    </row>
    <row r="125" ht="14.25" customHeight="1">
      <c r="A125" s="114" t="s">
        <v>7</v>
      </c>
      <c r="B125" s="114" t="s">
        <v>7</v>
      </c>
    </row>
    <row r="126" ht="14.25" customHeight="1">
      <c r="A126" s="114" t="str">
        <f t="array" ref="A126:A137">IF(October!M13:M24=0,"",
   October!M13:M24)</f>
        <v>House Bills</v>
      </c>
      <c r="B126" s="115">
        <f t="array" ref="B126:B137">IF(October!T13:T24&gt;0,October!T13:T24,
   "")</f>
        <v>100</v>
      </c>
    </row>
    <row r="127" ht="14.25" customHeight="1">
      <c r="A127" s="114" t="s">
        <v>36</v>
      </c>
      <c r="B127" s="114">
        <v>100.0</v>
      </c>
    </row>
    <row r="128" ht="14.25" customHeight="1">
      <c r="A128" s="114" t="s">
        <v>2</v>
      </c>
      <c r="B128" s="114">
        <v>14.0</v>
      </c>
    </row>
    <row r="129" ht="14.25" customHeight="1">
      <c r="A129" s="114" t="s">
        <v>7</v>
      </c>
      <c r="B129" s="114" t="s">
        <v>7</v>
      </c>
    </row>
    <row r="130" ht="14.25" customHeight="1">
      <c r="A130" s="114" t="s">
        <v>7</v>
      </c>
      <c r="B130" s="114" t="s">
        <v>7</v>
      </c>
    </row>
    <row r="131" ht="14.25" customHeight="1">
      <c r="A131" s="114" t="s">
        <v>7</v>
      </c>
      <c r="B131" s="114" t="s">
        <v>7</v>
      </c>
    </row>
    <row r="132" ht="14.25" customHeight="1">
      <c r="A132" s="114" t="s">
        <v>7</v>
      </c>
      <c r="B132" s="114" t="s">
        <v>7</v>
      </c>
    </row>
    <row r="133" ht="14.25" customHeight="1">
      <c r="A133" s="114" t="s">
        <v>7</v>
      </c>
      <c r="B133" s="114" t="s">
        <v>7</v>
      </c>
    </row>
    <row r="134" ht="14.25" customHeight="1">
      <c r="A134" s="114" t="s">
        <v>7</v>
      </c>
      <c r="B134" s="114" t="s">
        <v>7</v>
      </c>
    </row>
    <row r="135" ht="14.25" customHeight="1">
      <c r="A135" s="114" t="s">
        <v>7</v>
      </c>
      <c r="B135" s="114" t="s">
        <v>7</v>
      </c>
    </row>
    <row r="136" ht="14.25" customHeight="1">
      <c r="A136" s="114" t="s">
        <v>7</v>
      </c>
      <c r="B136" s="114" t="s">
        <v>7</v>
      </c>
    </row>
    <row r="137" ht="14.25" customHeight="1">
      <c r="A137" s="114" t="s">
        <v>7</v>
      </c>
      <c r="B137" s="114" t="s">
        <v>7</v>
      </c>
    </row>
    <row r="138" ht="14.25" customHeight="1">
      <c r="A138" s="114" t="str">
        <f t="array" ref="A138:A149">IF(November!M13:M24=0,"",
   November!M13:M24)</f>
        <v>House Bills</v>
      </c>
      <c r="B138" s="115">
        <f t="array" ref="B138:B149">IF(November!T13:T24&gt;0,November!T13:T24,
   "")</f>
        <v>100</v>
      </c>
    </row>
    <row r="139" ht="14.25" customHeight="1">
      <c r="A139" s="114" t="s">
        <v>36</v>
      </c>
      <c r="B139" s="114">
        <v>100.0</v>
      </c>
    </row>
    <row r="140" ht="14.25" customHeight="1">
      <c r="A140" s="114" t="s">
        <v>2</v>
      </c>
      <c r="B140" s="114">
        <v>14.0</v>
      </c>
    </row>
    <row r="141" ht="14.25" customHeight="1">
      <c r="A141" s="114" t="s">
        <v>7</v>
      </c>
      <c r="B141" s="114" t="s">
        <v>7</v>
      </c>
    </row>
    <row r="142" ht="14.25" customHeight="1">
      <c r="A142" s="114" t="s">
        <v>7</v>
      </c>
      <c r="B142" s="114" t="s">
        <v>7</v>
      </c>
    </row>
    <row r="143" ht="14.25" customHeight="1">
      <c r="A143" s="114" t="s">
        <v>7</v>
      </c>
      <c r="B143" s="114" t="s">
        <v>7</v>
      </c>
    </row>
    <row r="144" ht="14.25" customHeight="1">
      <c r="A144" s="114" t="s">
        <v>7</v>
      </c>
      <c r="B144" s="114" t="s">
        <v>7</v>
      </c>
    </row>
    <row r="145" ht="14.25" customHeight="1">
      <c r="A145" s="114" t="s">
        <v>7</v>
      </c>
      <c r="B145" s="114" t="s">
        <v>7</v>
      </c>
    </row>
    <row r="146" ht="14.25" customHeight="1">
      <c r="A146" s="114" t="s">
        <v>7</v>
      </c>
      <c r="B146" s="114" t="s">
        <v>7</v>
      </c>
    </row>
    <row r="147" ht="14.25" customHeight="1">
      <c r="A147" s="114" t="s">
        <v>7</v>
      </c>
      <c r="B147" s="114" t="s">
        <v>7</v>
      </c>
    </row>
    <row r="148" ht="14.25" customHeight="1">
      <c r="A148" s="114" t="s">
        <v>7</v>
      </c>
      <c r="B148" s="114" t="s">
        <v>7</v>
      </c>
    </row>
    <row r="149" ht="14.25" customHeight="1">
      <c r="A149" s="114" t="s">
        <v>7</v>
      </c>
      <c r="B149" s="114" t="s">
        <v>7</v>
      </c>
    </row>
    <row r="150" ht="14.25" customHeight="1">
      <c r="A150" s="114" t="str">
        <f t="array" ref="A150:A161">IF(December!M13:M24=0,"",
   December!M13:M24)</f>
        <v>House Bills</v>
      </c>
      <c r="B150" s="115">
        <f t="array" ref="B150:B161">IF(December!T13:T24&gt;0,December!T13:T24,
   "")</f>
        <v>100</v>
      </c>
    </row>
    <row r="151" ht="14.25" customHeight="1">
      <c r="A151" s="114" t="s">
        <v>36</v>
      </c>
      <c r="B151" s="114">
        <v>100.0</v>
      </c>
    </row>
    <row r="152" ht="14.25" customHeight="1">
      <c r="A152" s="114" t="s">
        <v>2</v>
      </c>
      <c r="B152" s="114">
        <v>14.0</v>
      </c>
    </row>
    <row r="153" ht="14.25" customHeight="1">
      <c r="A153" s="114" t="s">
        <v>7</v>
      </c>
      <c r="B153" s="114" t="s">
        <v>7</v>
      </c>
    </row>
    <row r="154" ht="14.25" customHeight="1">
      <c r="A154" s="114" t="s">
        <v>7</v>
      </c>
      <c r="B154" s="114" t="s">
        <v>7</v>
      </c>
    </row>
    <row r="155" ht="14.25" customHeight="1">
      <c r="A155" s="114" t="s">
        <v>7</v>
      </c>
      <c r="B155" s="114" t="s">
        <v>7</v>
      </c>
    </row>
    <row r="156" ht="14.25" customHeight="1">
      <c r="A156" s="114" t="s">
        <v>7</v>
      </c>
      <c r="B156" s="114" t="s">
        <v>7</v>
      </c>
    </row>
    <row r="157" ht="14.25" customHeight="1">
      <c r="A157" s="114" t="s">
        <v>7</v>
      </c>
      <c r="B157" s="114" t="s">
        <v>7</v>
      </c>
    </row>
    <row r="158" ht="14.25" customHeight="1">
      <c r="A158" s="114" t="s">
        <v>7</v>
      </c>
      <c r="B158" s="114" t="s">
        <v>7</v>
      </c>
    </row>
    <row r="159" ht="14.25" customHeight="1">
      <c r="A159" s="114" t="s">
        <v>7</v>
      </c>
      <c r="B159" s="114" t="s">
        <v>7</v>
      </c>
    </row>
    <row r="160" ht="14.25" customHeight="1">
      <c r="A160" s="114" t="s">
        <v>7</v>
      </c>
      <c r="B160" s="114" t="s">
        <v>7</v>
      </c>
    </row>
    <row r="161" ht="14.25" customHeight="1">
      <c r="A161" s="114" t="s">
        <v>7</v>
      </c>
      <c r="B161" s="114" t="s">
        <v>7</v>
      </c>
    </row>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A16:E16"/>
    <mergeCell ref="F16:J16"/>
    <mergeCell ref="K16:O16"/>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2023-03-23T15:29:35Z</dcterms:created>
  <dc:creator>Matheus</dc:creator>
</cp:coreProperties>
</file>