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rb" sheetId="1" r:id="rId3"/>
    <sheet state="visible" name="Barb (PP)" sheetId="2" r:id="rId4"/>
    <sheet state="visible" name="Crusader" sheetId="3" r:id="rId5"/>
    <sheet state="visible" name="Crusader (PP)" sheetId="4" r:id="rId6"/>
    <sheet state="visible" name="DH" sheetId="5" r:id="rId7"/>
    <sheet state="visible" name="DH (PP)" sheetId="6" r:id="rId8"/>
    <sheet state="visible" name="Monk" sheetId="7" r:id="rId9"/>
    <sheet state="visible" name="Monk (PP)" sheetId="8" r:id="rId10"/>
    <sheet state="visible" name="Witch Doctor" sheetId="9" r:id="rId11"/>
    <sheet state="visible" name="Witch Doctor (PP)" sheetId="10" r:id="rId12"/>
    <sheet state="visible" name="Wizard" sheetId="11" r:id="rId13"/>
    <sheet state="visible" name="Wizard (PP)" sheetId="12" r:id="rId14"/>
  </sheets>
  <definedNames/>
  <calcPr/>
</workbook>
</file>

<file path=xl/sharedStrings.xml><?xml version="1.0" encoding="utf-8"?>
<sst xmlns="http://schemas.openxmlformats.org/spreadsheetml/2006/main" count="2986" uniqueCount="1107">
  <si>
    <t xml:space="preserve">- OUTDATED -
</t>
  </si>
  <si>
    <t>(8/26/14,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t>
  </si>
  <si>
    <t>100% tested (2.0.6)</t>
  </si>
  <si>
    <t>Proc Coefficients</t>
  </si>
  <si>
    <t>Downloadable Sheet:</t>
  </si>
  <si>
    <t>Donate</t>
  </si>
  <si>
    <t>Updated: 7/10/14</t>
  </si>
  <si>
    <t>(per hit/tick)</t>
  </si>
  <si>
    <t>https://www.sendspace.com/file/x9jkvn</t>
  </si>
  <si>
    <t>https://www.paypal.com/cgi-bin/webscr?cmd=_donations&amp;business=YGJTBPRTJZD4S&amp;lc=US&amp;item_name=%5bD%20III%5d%20Proc%20Coefficients%20Sheet&amp;item_number=ZzEzZ&amp;currency_code=USD&amp;bn=PP%2dDonationsBF%3abtn_donateCC_LG%2egif%3aNonHosted</t>
  </si>
  <si>
    <t xml:space="preserve"> </t>
  </si>
  <si>
    <t>Barbarian</t>
  </si>
  <si>
    <t>If you like puppies!</t>
  </si>
  <si>
    <t>Proc. C.</t>
  </si>
  <si>
    <t>Bash</t>
  </si>
  <si>
    <t>Cleave</t>
  </si>
  <si>
    <t>Frenzy</t>
  </si>
  <si>
    <t>Weapon Throw</t>
  </si>
  <si>
    <t>Average</t>
  </si>
  <si>
    <t>Base</t>
  </si>
  <si>
    <t>Clobber</t>
  </si>
  <si>
    <t>Rupture</t>
  </si>
  <si>
    <t>Sidearm</t>
  </si>
  <si>
    <t>Mighty Throw</t>
  </si>
  <si>
    <t>Onslaught</t>
  </si>
  <si>
    <t>Reaping Swing</t>
  </si>
  <si>
    <t>Beserk</t>
  </si>
  <si>
    <t>Ricochet</t>
  </si>
  <si>
    <t>Punish</t>
  </si>
  <si>
    <t>Scattering Blast</t>
  </si>
  <si>
    <t>Vanguard</t>
  </si>
  <si>
    <t>Throwing Hammer</t>
  </si>
  <si>
    <t>Instigation</t>
  </si>
  <si>
    <t>Broad Sweep</t>
  </si>
  <si>
    <t>Smite</t>
  </si>
  <si>
    <t>Stupefy</t>
  </si>
  <si>
    <t>Pulverize</t>
  </si>
  <si>
    <t>Gathering Storm</t>
  </si>
  <si>
    <t>Maniac</t>
  </si>
  <si>
    <t>Balanced Weapon</t>
  </si>
  <si>
    <t>Hammer of the Ancients</t>
  </si>
  <si>
    <t>Rend**</t>
  </si>
  <si>
    <t>Seismic Slam</t>
  </si>
  <si>
    <t>Whirlwind</t>
  </si>
  <si>
    <t>Ancient Spear</t>
  </si>
  <si>
    <t>Rolling Thunder</t>
  </si>
  <si>
    <t>Ravage</t>
  </si>
  <si>
    <t>Stagger</t>
  </si>
  <si>
    <t>Dust Devils*</t>
  </si>
  <si>
    <t>Ranseur</t>
  </si>
  <si>
    <t>Smash</t>
  </si>
  <si>
    <t>Blood Lust</t>
  </si>
  <si>
    <t>Shattered Ground</t>
  </si>
  <si>
    <t>Hurricane</t>
  </si>
  <si>
    <t>Harpoon</t>
  </si>
  <si>
    <t>The Devil's Anvil</t>
  </si>
  <si>
    <t>Lacerate</t>
  </si>
  <si>
    <t>Rumble</t>
  </si>
  <si>
    <t>Blood Funnel</t>
  </si>
  <si>
    <t>Jagged Edge</t>
  </si>
  <si>
    <t>Thunderstrike</t>
  </si>
  <si>
    <t>Mutilate</t>
  </si>
  <si>
    <t>Strength from Earth</t>
  </si>
  <si>
    <t>Wind Shear</t>
  </si>
  <si>
    <t>Boulder Toss</t>
  </si>
  <si>
    <t>Birthright</t>
  </si>
  <si>
    <t>Bloodbath</t>
  </si>
  <si>
    <t>Permafrost</t>
  </si>
  <si>
    <t>Volcanic Eruption</t>
  </si>
  <si>
    <t>Rage Flip</t>
  </si>
  <si>
    <t>Ground Stomp</t>
  </si>
  <si>
    <t>Leap</t>
  </si>
  <si>
    <t>Sprint</t>
  </si>
  <si>
    <t>Ignore Pain</t>
  </si>
  <si>
    <t>Deafening Crash</t>
  </si>
  <si>
    <t>Iron Impact</t>
  </si>
  <si>
    <t>Rush</t>
  </si>
  <si>
    <t>Bravado</t>
  </si>
  <si>
    <t>Wrenching Smash</t>
  </si>
  <si>
    <t>Launch</t>
  </si>
  <si>
    <t>Run Like the Wind</t>
  </si>
  <si>
    <t>Iron Hide</t>
  </si>
  <si>
    <t>Trembling Stomp</t>
  </si>
  <si>
    <t>Toppling Impact</t>
  </si>
  <si>
    <t>Marathon</t>
  </si>
  <si>
    <t>Ignorance is Bliss</t>
  </si>
  <si>
    <t>Foot of the Mountain</t>
  </si>
  <si>
    <t>Call of Arreat</t>
  </si>
  <si>
    <t>Gangway</t>
  </si>
  <si>
    <t>Mob Rule</t>
  </si>
  <si>
    <t>Jarring Slam</t>
  </si>
  <si>
    <t>Death from Above</t>
  </si>
  <si>
    <t>Forced March</t>
  </si>
  <si>
    <t>Contempt for Weakness</t>
  </si>
  <si>
    <t>Overpower</t>
  </si>
  <si>
    <t>Revenge</t>
  </si>
  <si>
    <t>Furious Charge</t>
  </si>
  <si>
    <t>Avalanche</t>
  </si>
  <si>
    <t>Storm of Steel</t>
  </si>
  <si>
    <t>Blood Law</t>
  </si>
  <si>
    <t>Battering Ram</t>
  </si>
  <si>
    <t>Volcano</t>
  </si>
  <si>
    <t>Killing Spree</t>
  </si>
  <si>
    <t>Best Served Cold</t>
  </si>
  <si>
    <t>Merciles Assault</t>
  </si>
  <si>
    <t>Lahar</t>
  </si>
  <si>
    <t>Crushing Advance</t>
  </si>
  <si>
    <t>Retribution</t>
  </si>
  <si>
    <t>Stamina</t>
  </si>
  <si>
    <t>Snow-Capped Mountain</t>
  </si>
  <si>
    <t>Momentum</t>
  </si>
  <si>
    <t>Grudge</t>
  </si>
  <si>
    <t>Bull Rush</t>
  </si>
  <si>
    <t>Tectonic Rift</t>
  </si>
  <si>
    <t>Revel</t>
  </si>
  <si>
    <t>Provocation</t>
  </si>
  <si>
    <t>Dreadnought</t>
  </si>
  <si>
    <t>Glacier</t>
  </si>
  <si>
    <t>Threatening Shout</t>
  </si>
  <si>
    <t>Battle Rage</t>
  </si>
  <si>
    <t>War Cry</t>
  </si>
  <si>
    <t>Intimidate</t>
  </si>
  <si>
    <t>Marauder's Rage</t>
  </si>
  <si>
    <t>Hardened Wrath</t>
  </si>
  <si>
    <t>Falter</t>
  </si>
  <si>
    <t>Ferocity</t>
  </si>
  <si>
    <t>Charge!</t>
  </si>
  <si>
    <t>Grim Harvest</t>
  </si>
  <si>
    <t>Swords to Ploughshares</t>
  </si>
  <si>
    <t>Invigorate</t>
  </si>
  <si>
    <t>Demoralize</t>
  </si>
  <si>
    <t>Into the Fray</t>
  </si>
  <si>
    <t>Veteran's Warning</t>
  </si>
  <si>
    <t>Terrify</t>
  </si>
  <si>
    <t>Bloodshed</t>
  </si>
  <si>
    <t>Impunity</t>
  </si>
  <si>
    <t>Eathquake</t>
  </si>
  <si>
    <t>Call of the Ancients</t>
  </si>
  <si>
    <t>Wrath of the Berserker</t>
  </si>
  <si>
    <t>Giant's Stride</t>
  </si>
  <si>
    <t>The Council Rises</t>
  </si>
  <si>
    <t>Arreat's Wail</t>
  </si>
  <si>
    <t>Chilling Earth</t>
  </si>
  <si>
    <t>Duty to the Clan</t>
  </si>
  <si>
    <t>Insanity</t>
  </si>
  <si>
    <t>The Mountain's Call</t>
  </si>
  <si>
    <t>Ancients' Blessing</t>
  </si>
  <si>
    <t>Slaughter</t>
  </si>
  <si>
    <t>Molten Fury</t>
  </si>
  <si>
    <t>Ancients' Fury</t>
  </si>
  <si>
    <t>Striding Giant</t>
  </si>
  <si>
    <t>Cave-In</t>
  </si>
  <si>
    <t>Together as One</t>
  </si>
  <si>
    <t>Thrive on Chaos</t>
  </si>
  <si>
    <t>*Tornados have same PC as the initial whirlwind (.130)</t>
  </si>
  <si>
    <t>**Rend cannot trigger "on crit" proc effects</t>
  </si>
  <si>
    <t>Patch Notes:</t>
  </si>
  <si>
    <t>1.0.2</t>
  </si>
  <si>
    <t>1.0.3</t>
  </si>
  <si>
    <t>1.0.4</t>
  </si>
  <si>
    <t>&amp;</t>
  </si>
  <si>
    <t>1.0.5</t>
  </si>
  <si>
    <t>1.0.6</t>
  </si>
  <si>
    <t>http://www.diablofans.com/news/1423-106-official-patch-notes-patch-107-in-the-coming-weeks-heroes-rise-darkness-falls-ebook-now-available/</t>
  </si>
  <si>
    <t>1.0.7</t>
  </si>
  <si>
    <t>http://www.diablofans.com/news/1551-107-is-live/</t>
  </si>
  <si>
    <t>1.0.8</t>
  </si>
  <si>
    <t>2.0.1</t>
  </si>
  <si>
    <t>http://us.battle.net/d3/en/blog/12671560/</t>
  </si>
  <si>
    <t>2.0.2</t>
  </si>
  <si>
    <t>2.0.3</t>
  </si>
  <si>
    <t>2.0.4</t>
  </si>
  <si>
    <t>2.0.5</t>
  </si>
  <si>
    <t>2.0.6</t>
  </si>
  <si>
    <t>http://us.battle.net/d3/en/blog/14397824/patch-206-now-live-6-10-2014</t>
  </si>
  <si>
    <t>http://us.battle.net/d3/en/blog/15487814/</t>
  </si>
  <si>
    <t>All skills tested by ZzEzZ of clan Victorem Victis</t>
  </si>
  <si>
    <t>Questions? Comments?</t>
  </si>
  <si>
    <t>Change Log:</t>
  </si>
  <si>
    <t>Wizard, fixed PC's on three Magic Missile runes</t>
  </si>
  <si>
    <t>° Glacial Spike, to 0.770 from 0.931</t>
  </si>
  <si>
    <t>° Split, to 0.333 from 0.310</t>
  </si>
  <si>
    <t>° Conflagrate, to 0.500 from 0.499</t>
  </si>
  <si>
    <t>Patch 2.0.6 checked, no changes</t>
  </si>
  <si>
    <t>[[ Happy 2 year anniversary Diablo III :D ]]</t>
  </si>
  <si>
    <t>Barb, Seismic Slam (PP) altered. Attack animation of Seismic Slam now attacks at 1atk/sec instead of (47/60)atks/sec</t>
  </si>
  <si>
    <t>Crusader, Bombardment PC's updated (raised!)</t>
  </si>
  <si>
    <t>Crusader, Condemn PC's updated (raised!, also [Reciprocate] rune is bugged, 5/3 PC atm instead of 5/6…let's see how long 'till fixed)</t>
  </si>
  <si>
    <t>Crusader, Consecration [Shattered Ground] PC updated (to .05 from 0. This skill CANNOT trigger LoH)</t>
  </si>
  <si>
    <t>Crusader, Falling sword PC's updated (raised!)</t>
  </si>
  <si>
    <t>Crusader, Falling sword [Superheated] added DoT PC (1/150)</t>
  </si>
  <si>
    <t>Crusader, Falling sword [Part the clouds] added DoT PC (1/12)</t>
  </si>
  <si>
    <t>Crusader, Falling sword [Flurry] add DoT PC (1/150)</t>
  </si>
  <si>
    <t>Crusader, Heaven's Fury PC's updated (raised!)</t>
  </si>
  <si>
    <t>Monk, Fist of thunder [Lightning Flash] changed to [Wind Blast]</t>
  </si>
  <si>
    <t>Monk, Wave of light [Blinding Light] changed to [Numbing Light]</t>
  </si>
  <si>
    <t>Wizard, Archon [Arcane Destruction] changed to [Combustion]</t>
  </si>
  <si>
    <t>Fixed DH, Sentry PC's. They are all 0, not sure why two of them still said 0.100, my bad.</t>
  </si>
  <si>
    <t>Fixed DH, Vengeance PC's &amp; PP's. Not all runes reflected the correct number of hits from each Vengeance launch.</t>
  </si>
  <si>
    <t>Updated Wiz, Electrocute [Surge of Power] PC (to 0.166 from 0.250)</t>
  </si>
  <si>
    <t>Added PC's for Crusader</t>
  </si>
  <si>
    <t>Added PC's for level 61+ skills (Avalanche, Vengeance, Epiphany, Piranhas, &amp; Black Hole)</t>
  </si>
  <si>
    <t>Updated DH, Entangling shot [Shock Collar] (PC fixed to 0.4 from 0.8) with NOTES</t>
  </si>
  <si>
    <t>Updated DH, Grenade [Cluster Grenade] PC (to 0.250 from 0.5 and removed DoT)</t>
  </si>
  <si>
    <t>Patch 2.0.1 Proc changes added to sheet.</t>
  </si>
  <si>
    <t>° Skills that changed are listed on the BOTTOM of this sheet</t>
  </si>
  <si>
    <t>° ° Some skills are listed because of a change of name</t>
  </si>
  <si>
    <t>Patch 1.0.8 hit, but no changes :3</t>
  </si>
  <si>
    <t>Demon Hunter, Rapid Fire -&gt; All except bombardment. Fixed number of hits per second (to 6 from 9). Affects (PP) only.</t>
  </si>
  <si>
    <t>Updated Wizard (per hit/tick) proc coefficients to reflect patch changes</t>
  </si>
  <si>
    <t>Updated per second proc rates. It turns out some skills are literally faster/slower than others. Ie: (47/60) on Seismic Slam would denote 47 Seismic Slams in 60 seconds.</t>
  </si>
  <si>
    <t>° Barb: Seismic Slam, Weapon throw</t>
  </si>
  <si>
    <t>° Monk: Fists of Thunder, Deadly Reach, Crippling Wave, Way of 100 Fists, Cyclone Strike, Dashing Strike</t>
  </si>
  <si>
    <t>° Witch Doctor: Plague of Toads (Rain of Toads), Firebats (Hungry Bats),</t>
  </si>
  <si>
    <t>Witch Doctor, Hex -&gt; Angry Chicken. Fixed proc coefficient (to 0.333 from 0.000)</t>
  </si>
  <si>
    <t>Added (PP) (Practical Proc) pages for each class. These give LoH &amp; Skill/item Effect (S/E) procs per second instead of per hit/tick. (Tested at 1.00 "Attacks per second" Vs. a single, stationary target)</t>
  </si>
  <si>
    <t>Monk, Way of the Hundred Fists -&gt; Fists of Fury. Fixed Proc coefficient (to 0.750 from 1.50)</t>
  </si>
  <si>
    <t>DH, Hungering Arrow -&gt; Cinder Arrow. Fixed Proc coefficient (to 0.650 from 1.300)</t>
  </si>
  <si>
    <t>DH, Grenades -&gt; Cluster Grenades. Added "DoT Proc coefficient" (It's really just 2 hits after the initial, not a DoT). (0.125)</t>
  </si>
  <si>
    <t>DH, Strafe -&gt; Emberstrafe. Fixed DoT Proc coefficient (to 0.50 from 1.50)</t>
  </si>
  <si>
    <t>Monk, Fists of Thunder -&gt; Thunderclap. Fixed proc coefficient (to 0.750 from 1.50)</t>
  </si>
  <si>
    <t>Demon Hunter, Impale -&gt; Chemical Burn. Updated proc coefficient to reflect the bi-proc mechanic of the skill. (bleed)</t>
  </si>
  <si>
    <t>Wizard, Spectral Blades -&gt; Deep Cuts. Fixed proc coefficient due to unexpected 4th proc of the skill's bleed (to 0.140 from 0.187)</t>
  </si>
  <si>
    <t>Witch Doctor, Plage of Toads -&gt; Toad of Hugeness: Fixed proc coefficient (to 1.000 from 0.000)</t>
  </si>
  <si>
    <t>Witch Doctor, Added information regarding proc coefficient range on Acid Cloud</t>
  </si>
  <si>
    <t>Changed all decimal values to fraction formulas for increased accuracy (click the box to see the fraction)</t>
  </si>
  <si>
    <t>Tested all skills using 1000 LoH for more precise results</t>
  </si>
  <si>
    <t>Monk, Lashing Tail Kick -&gt; Spinning Flame Kick: Fixed proc coefficient (to .500 from .660)</t>
  </si>
  <si>
    <t>Witch Doctor, Fetish Army -&gt; Fetish Ambush: Fixed proc coefficient (to .100 from .600)</t>
  </si>
  <si>
    <t>Wizard, Blizzard -&gt; All Runes: Fixed proc coefficient (to .010 from .025 or .005 from .010)</t>
  </si>
  <si>
    <t>2.0.1 CHANGES</t>
  </si>
  <si>
    <t>BARB</t>
  </si>
  <si>
    <t>Frenzy, Beserk</t>
  </si>
  <si>
    <t>Weapon throw, balanced weapon</t>
  </si>
  <si>
    <t>HotA, The Devil's Anvil</t>
  </si>
  <si>
    <t>Seismic Slam, shattered ground</t>
  </si>
  <si>
    <t>seismic slam, rumble</t>
  </si>
  <si>
    <t>seismic slam, permafrost</t>
  </si>
  <si>
    <t>ancient spear, all</t>
  </si>
  <si>
    <t>ground stomp, jarring slam</t>
  </si>
  <si>
    <t>sprint, RLTW</t>
  </si>
  <si>
    <t>sprint, gangway</t>
  </si>
  <si>
    <t>ignore pain, bravado</t>
  </si>
  <si>
    <t>revenge, blood law</t>
  </si>
  <si>
    <t>furious charge, base</t>
  </si>
  <si>
    <t>furious charge, battering ram</t>
  </si>
  <si>
    <t>furious charge, stamina</t>
  </si>
  <si>
    <t>furious charge, bull rush</t>
  </si>
  <si>
    <t>furious charge, dreadnaught</t>
  </si>
  <si>
    <t>earthquake, all</t>
  </si>
  <si>
    <t>Call of the Ancients, Ancients' Blessing</t>
  </si>
  <si>
    <t>Call of the Ancients, Ancients' Fury</t>
  </si>
  <si>
    <t>Call of the Ancients, Together as One</t>
  </si>
  <si>
    <t>DH</t>
  </si>
  <si>
    <t>Hungering Arrow, Serrated Arrow</t>
  </si>
  <si>
    <t>Hungering arrow, shatter shot</t>
  </si>
  <si>
    <t>entangling shot, all</t>
  </si>
  <si>
    <t>bola shot, all</t>
  </si>
  <si>
    <t>evasive fire, all</t>
  </si>
  <si>
    <t>grenades, all</t>
  </si>
  <si>
    <t>impale, overpenetration</t>
  </si>
  <si>
    <t>impale, ricochet</t>
  </si>
  <si>
    <t>chakram, shuriken cloud</t>
  </si>
  <si>
    <t>elemental arrow, frost arrow</t>
  </si>
  <si>
    <t>smokescreen, healing vapors</t>
  </si>
  <si>
    <t>smokescreen, choking gas</t>
  </si>
  <si>
    <t>vault, action shot</t>
  </si>
  <si>
    <t>fan of knives, pinpoint accuracy</t>
  </si>
  <si>
    <t>fan of knives, bladed armor</t>
  </si>
  <si>
    <t>fan of knives, knives expert</t>
  </si>
  <si>
    <t>spike traps, all</t>
  </si>
  <si>
    <t>sentry, impaling bolt</t>
  </si>
  <si>
    <t>sentry, spitfire turret</t>
  </si>
  <si>
    <t>sentry, chain of torment</t>
  </si>
  <si>
    <t>strafe, emberstrafe</t>
  </si>
  <si>
    <t>strafe, rocketstorm</t>
  </si>
  <si>
    <t>multishot, all</t>
  </si>
  <si>
    <t>cluster arrow, all</t>
  </si>
  <si>
    <t>rain of vengeance, all</t>
  </si>
  <si>
    <t>MONK</t>
  </si>
  <si>
    <t>fists of thunder, all</t>
  </si>
  <si>
    <t>blinding light, all</t>
  </si>
  <si>
    <t>breath of heaven, zephyr</t>
  </si>
  <si>
    <t>serenity, unwelcome disturbance</t>
  </si>
  <si>
    <t>inner sanctuary, temple of protection</t>
  </si>
  <si>
    <t>inner sanctuary, intervene</t>
  </si>
  <si>
    <t>dashing strike, all</t>
  </si>
  <si>
    <t>mystic ally, enduring ally</t>
  </si>
  <si>
    <t>Mantra of Conviction, annihilation</t>
  </si>
  <si>
    <t>WD</t>
  </si>
  <si>
    <t>poison dart, base</t>
  </si>
  <si>
    <t>poison dart, numbing dart</t>
  </si>
  <si>
    <t>poison dart, spined dart</t>
  </si>
  <si>
    <t>poison dart, snake to the face</t>
  </si>
  <si>
    <t>corpse spiders, all</t>
  </si>
  <si>
    <t>plague of toads, piercing toads</t>
  </si>
  <si>
    <t>plague of toads, rain of toads</t>
  </si>
  <si>
    <t>fire bomb, pyrogeist</t>
  </si>
  <si>
    <t>fire bomb, ghost bomb</t>
  </si>
  <si>
    <t>grasp of the dead, all</t>
  </si>
  <si>
    <t>firebats, dire bats</t>
  </si>
  <si>
    <t>firebats, hungry bats</t>
  </si>
  <si>
    <t>zombie dogs, rabid dogs</t>
  </si>
  <si>
    <t>zombie dogs, burning dogs</t>
  </si>
  <si>
    <t>hex, toad of hugeness</t>
  </si>
  <si>
    <t>zombie charger, pile on</t>
  </si>
  <si>
    <t>zombie charger, lumbering cold</t>
  </si>
  <si>
    <t>spirit barrage, all</t>
  </si>
  <si>
    <t>acid cloud, all</t>
  </si>
  <si>
    <t>wall of zombies, all</t>
  </si>
  <si>
    <t>WIZARD</t>
  </si>
  <si>
    <t>magic missile, glacial spike</t>
  </si>
  <si>
    <t>magic missile, split</t>
  </si>
  <si>
    <t>magic missile, seeker</t>
  </si>
  <si>
    <t>magic missile, conflagrate</t>
  </si>
  <si>
    <t>shock pulse, all</t>
  </si>
  <si>
    <t>spectral blade, all</t>
  </si>
  <si>
    <t>ray of frost, snow blast</t>
  </si>
  <si>
    <t>arcane orb, all</t>
  </si>
  <si>
    <t>disintegrate, all</t>
  </si>
  <si>
    <t>frost nova, frozen mist</t>
  </si>
  <si>
    <t>diamond skin, sleek shell</t>
  </si>
  <si>
    <t>diamond skin, diamond shards</t>
  </si>
  <si>
    <t>slow time, time and space</t>
  </si>
  <si>
    <t>slow time, time warp</t>
  </si>
  <si>
    <t>slow time, point of no return</t>
  </si>
  <si>
    <t>wave of force, all</t>
  </si>
  <si>
    <t>energy twister, all</t>
  </si>
  <si>
    <t>hydra, blazing</t>
  </si>
  <si>
    <t>meteor, all</t>
  </si>
  <si>
    <t>storm armor, all</t>
  </si>
  <si>
    <t>magic weapon, ignite</t>
  </si>
  <si>
    <t>magic weapon, deflection</t>
  </si>
  <si>
    <t>familiar, icicle</t>
  </si>
  <si>
    <t>explosive blast, all</t>
  </si>
  <si>
    <t>mirror image, mocking demise</t>
  </si>
  <si>
    <t>(per second)</t>
  </si>
  <si>
    <t>S/E = skill/effect procs</t>
  </si>
  <si>
    <t>LoH</t>
  </si>
  <si>
    <t>S/E</t>
  </si>
  <si>
    <t>Frenzy*</t>
  </si>
  <si>
    <t>Rend</t>
  </si>
  <si>
    <t>Dust Devils</t>
  </si>
  <si>
    <t>*Each hit increase attack speed, but these numbers do not reflect that. So the actual (PP) with 5 stacked Frenzy is higher than what you see here.</t>
  </si>
  <si>
    <t>Crusader</t>
  </si>
  <si>
    <t>If grey is ok</t>
  </si>
  <si>
    <t>Slash</t>
  </si>
  <si>
    <t>Justice</t>
  </si>
  <si>
    <t>Roar</t>
  </si>
  <si>
    <t>Electrify</t>
  </si>
  <si>
    <t>Shatter</t>
  </si>
  <si>
    <t>Burst</t>
  </si>
  <si>
    <t>Celerity</t>
  </si>
  <si>
    <t>Carve</t>
  </si>
  <si>
    <t>Shackle</t>
  </si>
  <si>
    <t>Crack</t>
  </si>
  <si>
    <t>Rebirth</t>
  </si>
  <si>
    <t>Crush</t>
  </si>
  <si>
    <t>Surge</t>
  </si>
  <si>
    <t>Hammer of Pursuit</t>
  </si>
  <si>
    <t>Retaliate</t>
  </si>
  <si>
    <t>Zeal</t>
  </si>
  <si>
    <t>Reaping</t>
  </si>
  <si>
    <t>Sword of Justice</t>
  </si>
  <si>
    <t>Fury</t>
  </si>
  <si>
    <t>Guard</t>
  </si>
  <si>
    <t>Shared Fate</t>
  </si>
  <si>
    <t>Holy Bolt</t>
  </si>
  <si>
    <t>Shield Bash</t>
  </si>
  <si>
    <t>Sweep Attack</t>
  </si>
  <si>
    <t>Blessed Hammer</t>
  </si>
  <si>
    <t>Blessed Shield</t>
  </si>
  <si>
    <t>Fist of the Heavens</t>
  </si>
  <si>
    <t>Shattered Shield</t>
  </si>
  <si>
    <t>Blazing Sweep</t>
  </si>
  <si>
    <t>Burning Wrath</t>
  </si>
  <si>
    <t>Staggering Shield</t>
  </si>
  <si>
    <t>Divine Well</t>
  </si>
  <si>
    <t>One on One</t>
  </si>
  <si>
    <t>Trip Attack</t>
  </si>
  <si>
    <t>Thunderstruck</t>
  </si>
  <si>
    <t>Combust</t>
  </si>
  <si>
    <t>Heaven's Tempest*</t>
  </si>
  <si>
    <t>Shield Cross</t>
  </si>
  <si>
    <t>Holy Shock</t>
  </si>
  <si>
    <t>Limitless</t>
  </si>
  <si>
    <t>Divine Aegis</t>
  </si>
  <si>
    <t>Fissure**</t>
  </si>
  <si>
    <t>Crumble</t>
  </si>
  <si>
    <t>Gathering Sweep</t>
  </si>
  <si>
    <t>Icebound Hammer</t>
  </si>
  <si>
    <t>Shattering Throw</t>
  </si>
  <si>
    <t>Reverberation</t>
  </si>
  <si>
    <t>Pound</t>
  </si>
  <si>
    <t>Frozen Sweep</t>
  </si>
  <si>
    <t>Dominion</t>
  </si>
  <si>
    <t>Piercing Shield</t>
  </si>
  <si>
    <t>Shield Glare</t>
  </si>
  <si>
    <t>Iron Skin</t>
  </si>
  <si>
    <t>Consecration</t>
  </si>
  <si>
    <t>Judgement</t>
  </si>
  <si>
    <t>Divine Verdict</t>
  </si>
  <si>
    <t>Reflective Skin</t>
  </si>
  <si>
    <t>Bathed in Light</t>
  </si>
  <si>
    <t>Penitence</t>
  </si>
  <si>
    <t>Uncertainty</t>
  </si>
  <si>
    <t>Steel Skin</t>
  </si>
  <si>
    <t>Frozen Ground</t>
  </si>
  <si>
    <t>Mass Verdict</t>
  </si>
  <si>
    <t>Zealous Glare</t>
  </si>
  <si>
    <t>Explosive Skin</t>
  </si>
  <si>
    <t>Aegis Purgatory</t>
  </si>
  <si>
    <t>Deliberation</t>
  </si>
  <si>
    <t>Emblazoned Shield</t>
  </si>
  <si>
    <t>Charged Up</t>
  </si>
  <si>
    <t>Shattered Ground***</t>
  </si>
  <si>
    <t>Resolved</t>
  </si>
  <si>
    <t>Subdue</t>
  </si>
  <si>
    <t>Flash</t>
  </si>
  <si>
    <t>Fearful</t>
  </si>
  <si>
    <t>Conversion</t>
  </si>
  <si>
    <t>Provoke</t>
  </si>
  <si>
    <t>Steed Charge</t>
  </si>
  <si>
    <t>Condemn</t>
  </si>
  <si>
    <t>Phalanx</t>
  </si>
  <si>
    <t>Cleanse</t>
  </si>
  <si>
    <t>Ramming Speed</t>
  </si>
  <si>
    <t>Vacuum</t>
  </si>
  <si>
    <t>Bowmen</t>
  </si>
  <si>
    <t>Flee Fool</t>
  </si>
  <si>
    <t>Nightmare</t>
  </si>
  <si>
    <t>Unleashed</t>
  </si>
  <si>
    <t>Shield Charge</t>
  </si>
  <si>
    <t>Too Scared to Run</t>
  </si>
  <si>
    <t>Rejuvenation</t>
  </si>
  <si>
    <t>Eternal Retaliation</t>
  </si>
  <si>
    <t>Stampede</t>
  </si>
  <si>
    <t>Endurance</t>
  </si>
  <si>
    <t>Shattering Explosion</t>
  </si>
  <si>
    <t>Shield Bearers</t>
  </si>
  <si>
    <t>Hit Me</t>
  </si>
  <si>
    <t>Draw and Quarter</t>
  </si>
  <si>
    <t>Reciprocate</t>
  </si>
  <si>
    <t>Bodyguard</t>
  </si>
  <si>
    <t>Laws of Valor</t>
  </si>
  <si>
    <t>Laws of Justice</t>
  </si>
  <si>
    <t>Laws of Hope</t>
  </si>
  <si>
    <t>Invincible</t>
  </si>
  <si>
    <t>Protect the Innocent</t>
  </si>
  <si>
    <t>Wings of Angels</t>
  </si>
  <si>
    <t>Frozen in Terror</t>
  </si>
  <si>
    <t>Immovable Object</t>
  </si>
  <si>
    <t>Eternal Hope</t>
  </si>
  <si>
    <t>Critical</t>
  </si>
  <si>
    <t>Faith's Armor</t>
  </si>
  <si>
    <t>Hopeful Cry</t>
  </si>
  <si>
    <t>Unstoppable Force</t>
  </si>
  <si>
    <t>Decaying Strength</t>
  </si>
  <si>
    <t>Faith's Reward</t>
  </si>
  <si>
    <t>Answered Prayer</t>
  </si>
  <si>
    <t>Bravery</t>
  </si>
  <si>
    <t>Stop Time</t>
  </si>
  <si>
    <t>DoT</t>
  </si>
  <si>
    <t>Falling Sword</t>
  </si>
  <si>
    <t>Akarat's Champion</t>
  </si>
  <si>
    <t>Heaven's Fury</t>
  </si>
  <si>
    <t>Bombardment</t>
  </si>
  <si>
    <t>Superheated</t>
  </si>
  <si>
    <t>Fire Starter</t>
  </si>
  <si>
    <t>Blessed Ground</t>
  </si>
  <si>
    <t>Barrels of Tar</t>
  </si>
  <si>
    <t>Part the Clouds</t>
  </si>
  <si>
    <t>Embodiment of Power</t>
  </si>
  <si>
    <t>Ascendancy</t>
  </si>
  <si>
    <t>Annihilate</t>
  </si>
  <si>
    <t>Rise Brothers</t>
  </si>
  <si>
    <t>Rally</t>
  </si>
  <si>
    <t>Split Fury</t>
  </si>
  <si>
    <t>Mine Field</t>
  </si>
  <si>
    <t>Rapid Descent</t>
  </si>
  <si>
    <t>Prophet</t>
  </si>
  <si>
    <t>Thou Shalt Not Pass</t>
  </si>
  <si>
    <t>Impactful Bombardment</t>
  </si>
  <si>
    <t>Flurry</t>
  </si>
  <si>
    <t>Hasteful</t>
  </si>
  <si>
    <t>Fires of Heaven</t>
  </si>
  <si>
    <t>Targeted</t>
  </si>
  <si>
    <t>*Tempest DoT has same 0.100 PC</t>
  </si>
  <si>
    <t>**Fissure lightning arcs proc once per sec, with same 0.100 PC</t>
  </si>
  <si>
    <t>*** Shattered ground CANNOT trigger LoH</t>
  </si>
  <si>
    <t>Burst**</t>
  </si>
  <si>
    <t>Zeal*</t>
  </si>
  <si>
    <t>Thunderstruck***</t>
  </si>
  <si>
    <t>Heaven's Tempest</t>
  </si>
  <si>
    <t>Fissure</t>
  </si>
  <si>
    <t>Flurry****</t>
  </si>
  <si>
    <t>*Each hit increase attack speed, but these numbers do not reflect that. So the actual (PP) with 5 stacked Zeal is higher than what you see here.</t>
  </si>
  <si>
    <t>**Burst procs on initial enemy twice &amp; surrounding enemies once per throw factored in by 1.3333 hit/s rating</t>
  </si>
  <si>
    <t>***Thunderstruck, lightning arcs can also proc, but chance to hit is too small/variable to factor in on single target</t>
  </si>
  <si>
    <t>****Flurry is layered DoT with 3x PC in middle and 2x PC near the edge</t>
  </si>
  <si>
    <t>Demon Hunter</t>
  </si>
  <si>
    <t>If you like cats :3</t>
  </si>
  <si>
    <t>Hungering Arrow</t>
  </si>
  <si>
    <t>Entangling Shot</t>
  </si>
  <si>
    <t>Bola Shot</t>
  </si>
  <si>
    <t>Evasive Fire</t>
  </si>
  <si>
    <t>DOT Proc</t>
  </si>
  <si>
    <t>Grenades</t>
  </si>
  <si>
    <t>Puncturing Arrow</t>
  </si>
  <si>
    <t>Chain Gang</t>
  </si>
  <si>
    <t>Volatile Explosives</t>
  </si>
  <si>
    <t>Hardened</t>
  </si>
  <si>
    <t>Tinkerer</t>
  </si>
  <si>
    <t>Serrated Arrow</t>
  </si>
  <si>
    <t>Shock Collar*</t>
  </si>
  <si>
    <t>Thunder Ball</t>
  </si>
  <si>
    <t>Parting Gift</t>
  </si>
  <si>
    <t>Cluster Grenades</t>
  </si>
  <si>
    <t>Shatter Shot</t>
  </si>
  <si>
    <t>Heavy Burden</t>
  </si>
  <si>
    <t>Acid Strike</t>
  </si>
  <si>
    <t>Covering Fire</t>
  </si>
  <si>
    <t>Grenade Cache</t>
  </si>
  <si>
    <t>Devouring Arrow</t>
  </si>
  <si>
    <t>Justice is Served</t>
  </si>
  <si>
    <t>Bitter Pill</t>
  </si>
  <si>
    <t>Displace</t>
  </si>
  <si>
    <t>Stun Grenades</t>
  </si>
  <si>
    <t>Spray of Teeth</t>
  </si>
  <si>
    <t>Bounty Hunter</t>
  </si>
  <si>
    <t>Imminent Doom</t>
  </si>
  <si>
    <t>Gas Grenades</t>
  </si>
  <si>
    <t>Impale</t>
  </si>
  <si>
    <t>Rapid Fire</t>
  </si>
  <si>
    <t>Chakram</t>
  </si>
  <si>
    <t>Elemental Arrow</t>
  </si>
  <si>
    <t>Impact</t>
  </si>
  <si>
    <t>Withering Fire</t>
  </si>
  <si>
    <t>Twin Chakrams</t>
  </si>
  <si>
    <t>Ball Lightning</t>
  </si>
  <si>
    <t>Chemical Burn</t>
  </si>
  <si>
    <t>Web Shot</t>
  </si>
  <si>
    <t>Serpentine</t>
  </si>
  <si>
    <t>Frost Arrow</t>
  </si>
  <si>
    <t>Overpenetration</t>
  </si>
  <si>
    <t>Fire Support</t>
  </si>
  <si>
    <t>Razor Disk</t>
  </si>
  <si>
    <t>Screaming Skull</t>
  </si>
  <si>
    <t>High Velocity</t>
  </si>
  <si>
    <t>Boomerang</t>
  </si>
  <si>
    <t>Lightning Bolts</t>
  </si>
  <si>
    <t>Grievous Wounds</t>
  </si>
  <si>
    <t>Shuriken Cloud</t>
  </si>
  <si>
    <t>Nether Tentacles</t>
  </si>
  <si>
    <t>Caltrops</t>
  </si>
  <si>
    <t>Smoke Screen</t>
  </si>
  <si>
    <t>Shadow Power</t>
  </si>
  <si>
    <t>Hooked Spines</t>
  </si>
  <si>
    <t>Displacement</t>
  </si>
  <si>
    <t>Night Bane</t>
  </si>
  <si>
    <t>Torturous Ground</t>
  </si>
  <si>
    <t>Lingering Fog</t>
  </si>
  <si>
    <t>Blood Moon</t>
  </si>
  <si>
    <t>Jagged Spikes</t>
  </si>
  <si>
    <t>Healing Vapors</t>
  </si>
  <si>
    <t>Well of Darkness</t>
  </si>
  <si>
    <t>Carved Stakes</t>
  </si>
  <si>
    <t>Special Recipe</t>
  </si>
  <si>
    <t>Gloom</t>
  </si>
  <si>
    <t>Bait the Trap</t>
  </si>
  <si>
    <t>Choking Gas</t>
  </si>
  <si>
    <t>Shadow Glide</t>
  </si>
  <si>
    <t>Vault</t>
  </si>
  <si>
    <t>Preparation</t>
  </si>
  <si>
    <t>Companion</t>
  </si>
  <si>
    <t>Marked for Death</t>
  </si>
  <si>
    <t>Action Shot</t>
  </si>
  <si>
    <t>Invigoration</t>
  </si>
  <si>
    <t>Spider</t>
  </si>
  <si>
    <t>Contagion</t>
  </si>
  <si>
    <t>Rattling Roll</t>
  </si>
  <si>
    <t>Punishment</t>
  </si>
  <si>
    <t>Bat</t>
  </si>
  <si>
    <t>Valley of Death</t>
  </si>
  <si>
    <t>Tumble</t>
  </si>
  <si>
    <t>Battle Scars</t>
  </si>
  <si>
    <t>Boar</t>
  </si>
  <si>
    <t>Grim Reaper</t>
  </si>
  <si>
    <t>Acrobatics</t>
  </si>
  <si>
    <t>Focused Mind</t>
  </si>
  <si>
    <t>Ferret</t>
  </si>
  <si>
    <t>Mortal Enemy</t>
  </si>
  <si>
    <t>Trail of Cinders</t>
  </si>
  <si>
    <t>Backup Plan</t>
  </si>
  <si>
    <t>Wolf</t>
  </si>
  <si>
    <t>Death Toll</t>
  </si>
  <si>
    <t>Fan of Knives</t>
  </si>
  <si>
    <t>Spike Trap</t>
  </si>
  <si>
    <t>Sentry</t>
  </si>
  <si>
    <t>Vengeance</t>
  </si>
  <si>
    <t>Pinpoint Accuracy</t>
  </si>
  <si>
    <t>Echoing Blast</t>
  </si>
  <si>
    <t>Spitfire Turret</t>
  </si>
  <si>
    <t>Personal Mortar</t>
  </si>
  <si>
    <t>Bladed Armor</t>
  </si>
  <si>
    <t>Sticky Trap</t>
  </si>
  <si>
    <t>Impaling Bolt</t>
  </si>
  <si>
    <t>Dark Heart</t>
  </si>
  <si>
    <t>Knives Expert</t>
  </si>
  <si>
    <t>Long Fuse</t>
  </si>
  <si>
    <t>Chain of Torment</t>
  </si>
  <si>
    <t>Side Cannons</t>
  </si>
  <si>
    <t>Fan of Daggers</t>
  </si>
  <si>
    <t>Lightning Rod</t>
  </si>
  <si>
    <t>Aid Station</t>
  </si>
  <si>
    <t>Seethe</t>
  </si>
  <si>
    <t>Assassin's Knives</t>
  </si>
  <si>
    <t>Scatter</t>
  </si>
  <si>
    <t>Guardian Turret</t>
  </si>
  <si>
    <t>From the Shadows</t>
  </si>
  <si>
    <t>Strafe</t>
  </si>
  <si>
    <t>Multishot</t>
  </si>
  <si>
    <t>Cluster Arrow</t>
  </si>
  <si>
    <t>Rain of Vengeance</t>
  </si>
  <si>
    <t>Emberstrafe</t>
  </si>
  <si>
    <t>Fire at Will</t>
  </si>
  <si>
    <t>Dazzling Arrow</t>
  </si>
  <si>
    <t>Dark Cloud</t>
  </si>
  <si>
    <t>Drifting Shadow</t>
  </si>
  <si>
    <t>Burst Fire</t>
  </si>
  <si>
    <t>Shooting Stars</t>
  </si>
  <si>
    <t>Shade</t>
  </si>
  <si>
    <t>Stinging Steel</t>
  </si>
  <si>
    <t>Suppression Fire</t>
  </si>
  <si>
    <t>Maelstrom</t>
  </si>
  <si>
    <t>Rocket Storm</t>
  </si>
  <si>
    <t>Full Broadside</t>
  </si>
  <si>
    <t>Cluster Bombs</t>
  </si>
  <si>
    <t>Anathema</t>
  </si>
  <si>
    <t>Demolition</t>
  </si>
  <si>
    <t>Arsenal</t>
  </si>
  <si>
    <t>Loaded for Bear</t>
  </si>
  <si>
    <t>Flying Strike</t>
  </si>
  <si>
    <t>*Shock Collar gives a 0.4 PC against the target enemy + an additional 0.4 PC for every unaffected (not 'shocked') enemy hit including target.</t>
  </si>
  <si>
    <t>Evasive Fire***</t>
  </si>
  <si>
    <t>Shock Collar****</t>
  </si>
  <si>
    <t>Acid Strike*</t>
  </si>
  <si>
    <t>Vault**</t>
  </si>
  <si>
    <t>*Acid Strike, Interestingly enough, only 1 bola can be on the target at a time even though it shoots three. Oh Blizzard *smh*</t>
  </si>
  <si>
    <t>**Vault, Numbers based on one successful vault. A DH can vault 2 times without Tactical Advantage and 3 times with it in one second.</t>
  </si>
  <si>
    <t>***Evasive Fire, If you land a successful backflip (except from Displace rune), your next shot will come out quicker than two successive shots fired out of backflip range (Increasing the per second proc chance).</t>
  </si>
  <si>
    <t>****Shock Collar gives a cycling 0.8 to 0.4 PC every two seconds depending on whether or not the enemy is already 'shocked.' Factored in by 1.33/s hit factor</t>
  </si>
  <si>
    <t>Monk</t>
  </si>
  <si>
    <t>If green is your favorite flavor!</t>
  </si>
  <si>
    <t>3rd Hit PC</t>
  </si>
  <si>
    <t>Fists of Thunder</t>
  </si>
  <si>
    <t>Deadly Reach</t>
  </si>
  <si>
    <t>Crippling Wave</t>
  </si>
  <si>
    <t>2nd Hit PC</t>
  </si>
  <si>
    <t>Way of the Hundred Fists</t>
  </si>
  <si>
    <t>Thunderclap</t>
  </si>
  <si>
    <t>Piercing Trident</t>
  </si>
  <si>
    <t>Mangle</t>
  </si>
  <si>
    <t>Hands of Lightning</t>
  </si>
  <si>
    <t>Wind Blast</t>
  </si>
  <si>
    <t>Keen Eye</t>
  </si>
  <si>
    <t>Concussion</t>
  </si>
  <si>
    <t>Blazing Fists</t>
  </si>
  <si>
    <t>Static Charge</t>
  </si>
  <si>
    <t>Scattered Blows</t>
  </si>
  <si>
    <t>Rising Tide</t>
  </si>
  <si>
    <t>Fists of Fury</t>
  </si>
  <si>
    <t>Quickening</t>
  </si>
  <si>
    <t>Strike from Beyond</t>
  </si>
  <si>
    <t>Tsunami</t>
  </si>
  <si>
    <t>Spirited Salvo</t>
  </si>
  <si>
    <t>Bounding Light</t>
  </si>
  <si>
    <t>Foresight</t>
  </si>
  <si>
    <t>Breaking Wave</t>
  </si>
  <si>
    <t>Windforce Flurry</t>
  </si>
  <si>
    <t>Lashing Tail Kick</t>
  </si>
  <si>
    <t>Tempest Rush</t>
  </si>
  <si>
    <t>Wave of Light</t>
  </si>
  <si>
    <t>Vulture Claw Kick</t>
  </si>
  <si>
    <t>Northern Breeze</t>
  </si>
  <si>
    <t>Wall of Light</t>
  </si>
  <si>
    <t>Sweeping Armada</t>
  </si>
  <si>
    <t>Tailwind</t>
  </si>
  <si>
    <t>Explosive Light</t>
  </si>
  <si>
    <t>Spinning Flame Kick</t>
  </si>
  <si>
    <t>Empowered Wave</t>
  </si>
  <si>
    <t>Scorpion Sting</t>
  </si>
  <si>
    <t>Slipstream</t>
  </si>
  <si>
    <t>Numbing Light</t>
  </si>
  <si>
    <t>Hand of Ytar</t>
  </si>
  <si>
    <t>Bluster</t>
  </si>
  <si>
    <t>Pillar of the Ancients</t>
  </si>
  <si>
    <t>Blinding Flash</t>
  </si>
  <si>
    <t>Breath of Heaven</t>
  </si>
  <si>
    <t>Serenity</t>
  </si>
  <si>
    <t>Inner Sanctuary</t>
  </si>
  <si>
    <t>Self Reflection</t>
  </si>
  <si>
    <t>Circle of Scorn</t>
  </si>
  <si>
    <t>Peaceful Repose</t>
  </si>
  <si>
    <t>Sanctified Ground</t>
  </si>
  <si>
    <t>Mystifying Light</t>
  </si>
  <si>
    <t>Circle of Life</t>
  </si>
  <si>
    <t>Unwelcome Disturbance</t>
  </si>
  <si>
    <t>Safe Haven</t>
  </si>
  <si>
    <t>Replenishing Light</t>
  </si>
  <si>
    <t>Blazing Wrath</t>
  </si>
  <si>
    <t>Tranquility</t>
  </si>
  <si>
    <t>Temple of Protection</t>
  </si>
  <si>
    <t>Soothing Light</t>
  </si>
  <si>
    <t>Infused with Light</t>
  </si>
  <si>
    <t>Ascension</t>
  </si>
  <si>
    <t>Intervene</t>
  </si>
  <si>
    <t>Faith in the Light</t>
  </si>
  <si>
    <t>Zephyr</t>
  </si>
  <si>
    <t>Instant Karma</t>
  </si>
  <si>
    <t>Forbidden Palace</t>
  </si>
  <si>
    <t>Dashing Strike</t>
  </si>
  <si>
    <t>Exploding Palm</t>
  </si>
  <si>
    <t>Sweeping Wind</t>
  </si>
  <si>
    <t>Way of the Falling Star</t>
  </si>
  <si>
    <t>The Flesh is Weak</t>
  </si>
  <si>
    <t>Master of Wind</t>
  </si>
  <si>
    <t>Blinding Speed</t>
  </si>
  <si>
    <t>Strong Spirit</t>
  </si>
  <si>
    <t>Blade Storm</t>
  </si>
  <si>
    <t>Quicksilver</t>
  </si>
  <si>
    <t>Creeping Demise</t>
  </si>
  <si>
    <t>Fire Storm</t>
  </si>
  <si>
    <t>Flying Side Kick</t>
  </si>
  <si>
    <t>Impending Doom</t>
  </si>
  <si>
    <t>Inner Storm</t>
  </si>
  <si>
    <t>Barrage</t>
  </si>
  <si>
    <t>Essence Burn</t>
  </si>
  <si>
    <t>Cyclone</t>
  </si>
  <si>
    <t>Cyclone Strike</t>
  </si>
  <si>
    <t>Seven-Sided Strike</t>
  </si>
  <si>
    <t>Mystic Ally</t>
  </si>
  <si>
    <t>Epiphany</t>
  </si>
  <si>
    <t>Eye of the Storm</t>
  </si>
  <si>
    <t>Sudden Assault</t>
  </si>
  <si>
    <t>Water</t>
  </si>
  <si>
    <t>Desert Shroud</t>
  </si>
  <si>
    <t>Implosion</t>
  </si>
  <si>
    <t>Several-Sided Strike</t>
  </si>
  <si>
    <t>Fire</t>
  </si>
  <si>
    <t>Ascendance</t>
  </si>
  <si>
    <t>Sunburst</t>
  </si>
  <si>
    <t>Pandemonium</t>
  </si>
  <si>
    <t>Air</t>
  </si>
  <si>
    <t>Soothing Mist</t>
  </si>
  <si>
    <t>Wall of Wind</t>
  </si>
  <si>
    <t>Sustained Attack</t>
  </si>
  <si>
    <t>Enduring</t>
  </si>
  <si>
    <t>Windwalker</t>
  </si>
  <si>
    <t>Soothing Breeze</t>
  </si>
  <si>
    <t>Fulminating Onslaught</t>
  </si>
  <si>
    <t>Earth</t>
  </si>
  <si>
    <t>Inner Fire</t>
  </si>
  <si>
    <t>Mantra of Evasion</t>
  </si>
  <si>
    <t>Mantra of Retribution</t>
  </si>
  <si>
    <t>Mantra of Healing</t>
  </si>
  <si>
    <t>Mantra of Conviction</t>
  </si>
  <si>
    <t>Hard Target</t>
  </si>
  <si>
    <t>Retaliation</t>
  </si>
  <si>
    <t>Sustenance</t>
  </si>
  <si>
    <t>Overawe</t>
  </si>
  <si>
    <t>Divine Protection</t>
  </si>
  <si>
    <t>Transgression</t>
  </si>
  <si>
    <t>Circular Breathing</t>
  </si>
  <si>
    <t>Intimidation</t>
  </si>
  <si>
    <t>Wind through the Reeds</t>
  </si>
  <si>
    <t>Indignation</t>
  </si>
  <si>
    <t>Boon of Inspiration</t>
  </si>
  <si>
    <t>Dishearten</t>
  </si>
  <si>
    <t>Perseverance</t>
  </si>
  <si>
    <t>Against All Odds</t>
  </si>
  <si>
    <t>Heavenly Body</t>
  </si>
  <si>
    <t>Annihilation</t>
  </si>
  <si>
    <t>Backlash</t>
  </si>
  <si>
    <t>Collateral Damage</t>
  </si>
  <si>
    <t>Time of Need</t>
  </si>
  <si>
    <t>Submission</t>
  </si>
  <si>
    <t>1st/2nd Hit</t>
  </si>
  <si>
    <t>3rd Hit</t>
  </si>
  <si>
    <t>1st Hit</t>
  </si>
  <si>
    <t>2nd Hit</t>
  </si>
  <si>
    <t>Replenish Light</t>
  </si>
  <si>
    <t>Witch Doctor</t>
  </si>
  <si>
    <t>If you want to support :)</t>
  </si>
  <si>
    <t>Poison Dart</t>
  </si>
  <si>
    <t>Corpse Spiders</t>
  </si>
  <si>
    <t>Plague of Toads</t>
  </si>
  <si>
    <t>Firebomb</t>
  </si>
  <si>
    <t>Splinters</t>
  </si>
  <si>
    <t>Leaping Spiders</t>
  </si>
  <si>
    <t>Explosive Toads</t>
  </si>
  <si>
    <t>Flash Fire</t>
  </si>
  <si>
    <t>Numbing Dart</t>
  </si>
  <si>
    <t>Spider Queen</t>
  </si>
  <si>
    <t>Piercing Toads</t>
  </si>
  <si>
    <t>Roll the Bones</t>
  </si>
  <si>
    <t>Spined Dart</t>
  </si>
  <si>
    <t>Widowmakers</t>
  </si>
  <si>
    <t>Rain of Toads</t>
  </si>
  <si>
    <t>Fire Pit</t>
  </si>
  <si>
    <t>Flaming Dart</t>
  </si>
  <si>
    <t>Medusa Spiders</t>
  </si>
  <si>
    <t>Addling Toads</t>
  </si>
  <si>
    <t>Pyrogeist</t>
  </si>
  <si>
    <t>Snake to the Face</t>
  </si>
  <si>
    <t>Blazing Spiders</t>
  </si>
  <si>
    <t>Toad Affinity</t>
  </si>
  <si>
    <t>Ghost Bomb</t>
  </si>
  <si>
    <t>Grasp of the Dead</t>
  </si>
  <si>
    <t>Firebats</t>
  </si>
  <si>
    <t>Haunt***</t>
  </si>
  <si>
    <t>Locust Swarm*****</t>
  </si>
  <si>
    <t>Unbreakable Grasp</t>
  </si>
  <si>
    <t>Dire</t>
  </si>
  <si>
    <t>Consuming</t>
  </si>
  <si>
    <t>Pestilence</t>
  </si>
  <si>
    <t>Groping Eels</t>
  </si>
  <si>
    <t>Vampire</t>
  </si>
  <si>
    <t>Resentful</t>
  </si>
  <si>
    <t>Devouring Swarm</t>
  </si>
  <si>
    <t>Death is Life</t>
  </si>
  <si>
    <t>Plague</t>
  </si>
  <si>
    <t>Lingering</t>
  </si>
  <si>
    <t>Cloud of Insects</t>
  </si>
  <si>
    <t>Desperate Grasp</t>
  </si>
  <si>
    <t>Hungry</t>
  </si>
  <si>
    <t>Grasping</t>
  </si>
  <si>
    <t>Diseased Swarm</t>
  </si>
  <si>
    <t>Rain of Corpses</t>
  </si>
  <si>
    <t>Cloud of</t>
  </si>
  <si>
    <t>Draining</t>
  </si>
  <si>
    <t>Searing Locusts</t>
  </si>
  <si>
    <t>Summon Zombie Dogs</t>
  </si>
  <si>
    <t>Horrify</t>
  </si>
  <si>
    <t>Spirit Walk</t>
  </si>
  <si>
    <t>Hex</t>
  </si>
  <si>
    <t>Rabbid Dogs</t>
  </si>
  <si>
    <t>Phobia</t>
  </si>
  <si>
    <t>Jaunt</t>
  </si>
  <si>
    <t>Hedge Magic</t>
  </si>
  <si>
    <t>Final Gift</t>
  </si>
  <si>
    <t>Stalker</t>
  </si>
  <si>
    <t>Honored Guest</t>
  </si>
  <si>
    <t>Jinx</t>
  </si>
  <si>
    <t>Life Link</t>
  </si>
  <si>
    <t>Face of Death</t>
  </si>
  <si>
    <t>Umbral Shock</t>
  </si>
  <si>
    <t>Angry Chicken</t>
  </si>
  <si>
    <t>Burning Dogs</t>
  </si>
  <si>
    <t>Frightening Aspect</t>
  </si>
  <si>
    <t>Severance</t>
  </si>
  <si>
    <t>Toad of Hugeness****</t>
  </si>
  <si>
    <t>Leeching Beasts</t>
  </si>
  <si>
    <t>Ruthless Terror</t>
  </si>
  <si>
    <t>Healing Journey</t>
  </si>
  <si>
    <t>Unstable Form</t>
  </si>
  <si>
    <t>Soul Harvest</t>
  </si>
  <si>
    <t>Sacrifice</t>
  </si>
  <si>
    <t>Mass Confusion</t>
  </si>
  <si>
    <t>Swallow Your Soul</t>
  </si>
  <si>
    <t>Black Blood</t>
  </si>
  <si>
    <t>Unstable Realm</t>
  </si>
  <si>
    <t>Siphon</t>
  </si>
  <si>
    <t>Next of Kin</t>
  </si>
  <si>
    <t>Devolution</t>
  </si>
  <si>
    <t>Languish</t>
  </si>
  <si>
    <t>Pride</t>
  </si>
  <si>
    <t>Mass Hysteria</t>
  </si>
  <si>
    <t>Soul to Waste</t>
  </si>
  <si>
    <t>For the Master</t>
  </si>
  <si>
    <t>Paranoia</t>
  </si>
  <si>
    <t>Vengeful Spirit</t>
  </si>
  <si>
    <t>Provoke the Pack</t>
  </si>
  <si>
    <t>Mass Hallucination</t>
  </si>
  <si>
    <t>Zombie Charger</t>
  </si>
  <si>
    <t>Spirit Barrage</t>
  </si>
  <si>
    <t>Acid Cloud*</t>
  </si>
  <si>
    <t>Wall of Zombies**</t>
  </si>
  <si>
    <t>Piranhas</t>
  </si>
  <si>
    <t>Pile On</t>
  </si>
  <si>
    <t>The Spirit is Willing</t>
  </si>
  <si>
    <t>Acid Rain</t>
  </si>
  <si>
    <t>Barricade</t>
  </si>
  <si>
    <t>Bogadile</t>
  </si>
  <si>
    <t>Undeath</t>
  </si>
  <si>
    <t>Well of Souls</t>
  </si>
  <si>
    <t>Lob Blob Bomb</t>
  </si>
  <si>
    <t>Unrelenting Grip</t>
  </si>
  <si>
    <t>Zombie Piranhas</t>
  </si>
  <si>
    <t>Lumbering Cold</t>
  </si>
  <si>
    <t>Phantasm</t>
  </si>
  <si>
    <t>Slow Burn</t>
  </si>
  <si>
    <t>Creepers</t>
  </si>
  <si>
    <t>Piranhado</t>
  </si>
  <si>
    <t>Explosive Beast</t>
  </si>
  <si>
    <t>Phlebotomize</t>
  </si>
  <si>
    <t>Kiss of Death</t>
  </si>
  <si>
    <t>Wrecking Crew</t>
  </si>
  <si>
    <t>Wave of Mutilation</t>
  </si>
  <si>
    <t>Zombie Bears</t>
  </si>
  <si>
    <t>Manitou</t>
  </si>
  <si>
    <t>Corpse Bomb</t>
  </si>
  <si>
    <t>Offensive Line</t>
  </si>
  <si>
    <t>Frozen Piranhas</t>
  </si>
  <si>
    <t>Gargantuan</t>
  </si>
  <si>
    <t>Big Bad Voodoo</t>
  </si>
  <si>
    <t>Fetish Army</t>
  </si>
  <si>
    <t>Humongoid</t>
  </si>
  <si>
    <t>Jungle Drums</t>
  </si>
  <si>
    <t>Fetish Ambush</t>
  </si>
  <si>
    <t>Restless Giant</t>
  </si>
  <si>
    <t>Rain Dance</t>
  </si>
  <si>
    <t>Devoted Following</t>
  </si>
  <si>
    <t>Wrathful Protector</t>
  </si>
  <si>
    <t>Slam Dance</t>
  </si>
  <si>
    <t>Legion of Daggers</t>
  </si>
  <si>
    <t>Big Stinker</t>
  </si>
  <si>
    <t>Ghost Trance</t>
  </si>
  <si>
    <t>Tiki Torchers</t>
  </si>
  <si>
    <t>Bruiser</t>
  </si>
  <si>
    <t>Boogie Man</t>
  </si>
  <si>
    <t>Head Hunters</t>
  </si>
  <si>
    <t>*Acid Cloud has 2 layers of damage. Both hit initially (0.200x2=0.400) and are removed from the outside in over time.</t>
  </si>
  <si>
    <t>**Really Blizzard? 8,7,6,5,3…that's not cute, that's annoying and lazy.</t>
  </si>
  <si>
    <t>***Haunt CANNOT proc "on crit" effects</t>
  </si>
  <si>
    <t>****Toad of Hugeness CANNOT proc "on crit" effects</t>
  </si>
  <si>
    <t>*****Locust swarm CANNOT proc "on crit" effects</t>
  </si>
  <si>
    <t>Rain of Toads***</t>
  </si>
  <si>
    <t>Fire Pit*</t>
  </si>
  <si>
    <t>Haunt</t>
  </si>
  <si>
    <t>Locust Swarm</t>
  </si>
  <si>
    <t>Toad of Hugeness</t>
  </si>
  <si>
    <t>Acid Cloud**</t>
  </si>
  <si>
    <t>Wall of Zombies</t>
  </si>
  <si>
    <t>*The DoT of FirePit has 2 layers of damage. Both hit initially and one is removed over time.  1.5 is used to calculate "average hits per second."</t>
  </si>
  <si>
    <t>**Acid Cloud values calculated on average per second instead of using ranged values like on the "per hit" sheet. Direct hits will yield higher procs, and edge hits will yield lower procs.</t>
  </si>
  <si>
    <t>***Initial hitx2 + DoT, averaged to 2.5 proc/sec</t>
  </si>
  <si>
    <t>Wizard</t>
  </si>
  <si>
    <t>If you think the sound FX of Arcane Orb, Spark sound siiiiiiiick</t>
  </si>
  <si>
    <t>Magic Missile</t>
  </si>
  <si>
    <t>Shock Pulse</t>
  </si>
  <si>
    <t>Spectral Blade</t>
  </si>
  <si>
    <t>Electrocute</t>
  </si>
  <si>
    <t>Charged Blast</t>
  </si>
  <si>
    <t>Explosive Bolts</t>
  </si>
  <si>
    <t>Flame Blades</t>
  </si>
  <si>
    <t>Chain Lightning</t>
  </si>
  <si>
    <t>Glacial Spike</t>
  </si>
  <si>
    <t>Fire Bolts</t>
  </si>
  <si>
    <t>Siphoning Blade</t>
  </si>
  <si>
    <t>Forked Lightning</t>
  </si>
  <si>
    <t>Split</t>
  </si>
  <si>
    <t>Piercing Orb</t>
  </si>
  <si>
    <t>Thrown Blade</t>
  </si>
  <si>
    <t>Lightning Blast</t>
  </si>
  <si>
    <t>Seeker</t>
  </si>
  <si>
    <t>Power Affinity</t>
  </si>
  <si>
    <t>Barrier Blades</t>
  </si>
  <si>
    <t>Surge of Power</t>
  </si>
  <si>
    <t>Conflagrate</t>
  </si>
  <si>
    <t>Living Lightning</t>
  </si>
  <si>
    <t>Ice Blades</t>
  </si>
  <si>
    <t>Arc Lightning</t>
  </si>
  <si>
    <t>Ray of Frost</t>
  </si>
  <si>
    <t>Arcane Orb</t>
  </si>
  <si>
    <t>Arcane Torrent</t>
  </si>
  <si>
    <t>Disintegrate</t>
  </si>
  <si>
    <t>Cold Blood</t>
  </si>
  <si>
    <t>Obliteration</t>
  </si>
  <si>
    <t>Disruption</t>
  </si>
  <si>
    <t>Convergence</t>
  </si>
  <si>
    <t>Numb</t>
  </si>
  <si>
    <t>Arcane Orbit</t>
  </si>
  <si>
    <t>Death Blossom</t>
  </si>
  <si>
    <t>Volatility</t>
  </si>
  <si>
    <t>Black Ice</t>
  </si>
  <si>
    <t>Spark</t>
  </si>
  <si>
    <t>Arcane Mines</t>
  </si>
  <si>
    <t>Entropy</t>
  </si>
  <si>
    <t>Sleet Storm</t>
  </si>
  <si>
    <t>Scorch</t>
  </si>
  <si>
    <t>Power Stone</t>
  </si>
  <si>
    <t>Chaos Nexus</t>
  </si>
  <si>
    <t>Snow Blast</t>
  </si>
  <si>
    <t>Frozen Orb</t>
  </si>
  <si>
    <t>Cascade</t>
  </si>
  <si>
    <t>Intensify</t>
  </si>
  <si>
    <t>Frost Nova</t>
  </si>
  <si>
    <t>Diamond Skin</t>
  </si>
  <si>
    <t>Slow Time</t>
  </si>
  <si>
    <t>Teleport</t>
  </si>
  <si>
    <t>Crystal Shell</t>
  </si>
  <si>
    <t>Time Shell</t>
  </si>
  <si>
    <t>Safe Passage</t>
  </si>
  <si>
    <t>Cold Snap</t>
  </si>
  <si>
    <t>Prism</t>
  </si>
  <si>
    <t>Time and Space</t>
  </si>
  <si>
    <t>Wormhole</t>
  </si>
  <si>
    <t>Frozen Mist</t>
  </si>
  <si>
    <t>Sleek Shell</t>
  </si>
  <si>
    <t>Time Warp</t>
  </si>
  <si>
    <t>Reversal</t>
  </si>
  <si>
    <t>Deep Freeze</t>
  </si>
  <si>
    <t>Enduring Skin</t>
  </si>
  <si>
    <t>Point of No Return</t>
  </si>
  <si>
    <t>Fracture</t>
  </si>
  <si>
    <t>Bone Chill</t>
  </si>
  <si>
    <t>Diamond Shards</t>
  </si>
  <si>
    <t>Stretch Time</t>
  </si>
  <si>
    <t>Calamity</t>
  </si>
  <si>
    <t>Wave of Force</t>
  </si>
  <si>
    <t>Energy Twister</t>
  </si>
  <si>
    <t>Hydra</t>
  </si>
  <si>
    <t>Meteor</t>
  </si>
  <si>
    <t>Blizzard*</t>
  </si>
  <si>
    <t>Impactful Wave</t>
  </si>
  <si>
    <t>Mistral Breeze</t>
  </si>
  <si>
    <t>Arcane</t>
  </si>
  <si>
    <t>Lightning Bind</t>
  </si>
  <si>
    <t>Grasping Chill</t>
  </si>
  <si>
    <t>Debilitating Force</t>
  </si>
  <si>
    <t>Gale Force</t>
  </si>
  <si>
    <t>Lightning</t>
  </si>
  <si>
    <t>Star Pact</t>
  </si>
  <si>
    <t>Frozen Solid</t>
  </si>
  <si>
    <t>Arcane Attunement</t>
  </si>
  <si>
    <t>Raging Storm</t>
  </si>
  <si>
    <t>Blazing</t>
  </si>
  <si>
    <t>Comet</t>
  </si>
  <si>
    <t>Snowbound</t>
  </si>
  <si>
    <t>Static Pulse</t>
  </si>
  <si>
    <t>Wicked Wind</t>
  </si>
  <si>
    <t>Frost</t>
  </si>
  <si>
    <t>Meteor Shower</t>
  </si>
  <si>
    <t>Stark Winter</t>
  </si>
  <si>
    <t>Heat Wave</t>
  </si>
  <si>
    <t>Storm Chaser</t>
  </si>
  <si>
    <t>Mammoth</t>
  </si>
  <si>
    <t>Molten Impact</t>
  </si>
  <si>
    <t>Unrelenting Storm</t>
  </si>
  <si>
    <t>Ice Armor</t>
  </si>
  <si>
    <t>Storm Armor</t>
  </si>
  <si>
    <t>Magic Weapon</t>
  </si>
  <si>
    <t>Familiar</t>
  </si>
  <si>
    <t>Energy Armor</t>
  </si>
  <si>
    <t>Chilling Aura</t>
  </si>
  <si>
    <t>Reactive Armor</t>
  </si>
  <si>
    <t>Sparkflint</t>
  </si>
  <si>
    <t>Absorption</t>
  </si>
  <si>
    <t>Crystallize</t>
  </si>
  <si>
    <t>Power of the Storm</t>
  </si>
  <si>
    <t>Force Weapon</t>
  </si>
  <si>
    <t>Icicle</t>
  </si>
  <si>
    <t>Pinpoint Barrier</t>
  </si>
  <si>
    <t>Jagged Ice</t>
  </si>
  <si>
    <t>Thunder Storm</t>
  </si>
  <si>
    <t>Conduit</t>
  </si>
  <si>
    <t>Ancient Guardian</t>
  </si>
  <si>
    <t>Energy Tap</t>
  </si>
  <si>
    <t>Ice Reflect</t>
  </si>
  <si>
    <t>Scramble</t>
  </si>
  <si>
    <t>Ignite</t>
  </si>
  <si>
    <t>Arcanot</t>
  </si>
  <si>
    <t>Force Armor</t>
  </si>
  <si>
    <t>Frozen Storm</t>
  </si>
  <si>
    <t>Shocking Aspect</t>
  </si>
  <si>
    <t>Deflection</t>
  </si>
  <si>
    <t>Cannoneer</t>
  </si>
  <si>
    <t>Prismatic Armor</t>
  </si>
  <si>
    <t>Explosive Blast</t>
  </si>
  <si>
    <t>Mirror Image</t>
  </si>
  <si>
    <t>Archon</t>
  </si>
  <si>
    <t>Black Hole</t>
  </si>
  <si>
    <t>Simulacrum</t>
  </si>
  <si>
    <t>Combustion</t>
  </si>
  <si>
    <t>Supermassive</t>
  </si>
  <si>
    <t>Time Bomb</t>
  </si>
  <si>
    <t>Duplicates</t>
  </si>
  <si>
    <t>Archon Beam</t>
  </si>
  <si>
    <t>Absolute Zero</t>
  </si>
  <si>
    <t>Short Fuse</t>
  </si>
  <si>
    <t>Mocking Demise</t>
  </si>
  <si>
    <t>Archon Melee</t>
  </si>
  <si>
    <t>Event Horizon</t>
  </si>
  <si>
    <t>Obliterate</t>
  </si>
  <si>
    <t>Extension of Will</t>
  </si>
  <si>
    <t>Archon Explosion</t>
  </si>
  <si>
    <t>Blazar</t>
  </si>
  <si>
    <t>Chain Reaction</t>
  </si>
  <si>
    <t>Mirror Mimics</t>
  </si>
  <si>
    <t>Spellsteal</t>
  </si>
  <si>
    <t>*Blizzard procs stack, so two casts in the same area yields double the PC (damage still does not stack, however).</t>
  </si>
  <si>
    <t>Split*</t>
  </si>
  <si>
    <t>Meteor**</t>
  </si>
  <si>
    <t>Blizzard</t>
  </si>
  <si>
    <t>*Magic Missile, Split fires 3 orbs with a high chance of all hitting the target. However, 3 hits is not guaranteed, so average values were used here.</t>
  </si>
  <si>
    <t>**Meteor = 3 procs in the first second &amp; 2 procs/sec over time, so averaged to 2.5 procs/sec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</si>
</sst>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m/d/yyyy h:mm:ss"/>
    <numFmt numFmtId="166" formatCode="M/d/yyyy"/>
    <numFmt numFmtId="167" formatCode="0.000 ;(0.000)"/>
  </numFmts>
  <fonts count="39">
    <font>
      <sz val="10.0"/>
      <color rgb="FF000000"/>
      <name val="Arial"/>
    </font>
    <font>
      <sz val="72.0"/>
      <color rgb="FFFF0000"/>
      <name val="Georgia"/>
    </font>
    <font>
      <i/>
      <sz val="10.0"/>
      <color rgb="FF999999"/>
    </font>
    <font/>
    <font>
      <b/>
      <sz val="10.0"/>
      <color rgb="FF00F04A"/>
      <name val="Comic sans ms"/>
    </font>
    <font>
      <b/>
      <sz val="18.0"/>
      <color rgb="FF1F497D"/>
      <name val="Cambria"/>
    </font>
    <font>
      <b/>
      <sz val="11.0"/>
      <color rgb="FF000000"/>
      <name val="Cambria"/>
    </font>
    <font>
      <sz val="11.0"/>
      <color rgb="FF000000"/>
      <name val="Calibri"/>
    </font>
    <font>
      <sz val="11.0"/>
      <color rgb="FF000000"/>
      <name val="Times New Roman"/>
    </font>
    <font>
      <b/>
      <sz val="12.0"/>
      <color rgb="FF1F497D"/>
      <name val="Cambria"/>
    </font>
    <font>
      <u/>
      <sz val="11.0"/>
      <color rgb="FF0000FF"/>
      <name val="Calibri"/>
    </font>
    <font>
      <u/>
      <sz val="11.0"/>
      <color rgb="FF0000FF"/>
      <name val="Calibri"/>
    </font>
    <font>
      <b/>
      <sz val="20.0"/>
      <color rgb="FFDA0000"/>
      <name val="Elephant"/>
    </font>
    <font>
      <sz val="12.0"/>
      <color rgb="FF000000"/>
      <name val="Calibri"/>
    </font>
    <font>
      <b/>
      <sz val="16.0"/>
      <color rgb="FF000000"/>
      <name val="Times New Roman"/>
    </font>
    <font>
      <b/>
      <sz val="13.0"/>
      <color rgb="FF000000"/>
      <name val="Calibri"/>
    </font>
    <font>
      <b/>
      <sz val="9.0"/>
      <color rgb="FFFFFFFF"/>
      <name val="Calibri"/>
    </font>
    <font>
      <sz val="11.0"/>
      <color rgb="FFFFFFFF"/>
      <name val="Calibri"/>
    </font>
    <font>
      <b/>
      <sz val="11.0"/>
      <color rgb="FF000000"/>
      <name val="Calibri"/>
    </font>
    <font>
      <b/>
      <sz val="11.0"/>
      <color rgb="FFFFFFFF"/>
      <name val="Calibri"/>
    </font>
    <font>
      <u/>
      <sz val="11.0"/>
      <color rgb="FF0000FF"/>
      <name val="Calibri"/>
    </font>
    <font>
      <u/>
      <sz val="11.0"/>
      <color rgb="FF0000FF"/>
      <name val="Calibri"/>
    </font>
    <font>
      <b/>
      <sz val="14.0"/>
      <color rgb="FF000000"/>
      <name val="Calibri"/>
    </font>
    <font>
      <b/>
      <sz val="10.0"/>
      <color rgb="FF00FF00"/>
      <name val="Comic sans ms"/>
    </font>
    <font>
      <b/>
      <sz val="18.0"/>
      <color rgb="FF31859B"/>
      <name val="Cambria"/>
    </font>
    <font>
      <b/>
      <sz val="12.0"/>
      <color rgb="FF31859B"/>
      <name val="Cambria"/>
    </font>
    <font>
      <u/>
      <sz val="11.0"/>
      <color rgb="FF0000FF"/>
      <name val="Calibri"/>
    </font>
    <font>
      <b/>
      <sz val="8.0"/>
      <color rgb="FF000000"/>
      <name val="Calibri"/>
    </font>
    <font>
      <u/>
      <sz val="11.0"/>
      <color rgb="FF0000FF"/>
      <name val="Calibri"/>
    </font>
    <font>
      <b/>
      <sz val="24.0"/>
      <color rgb="FF7F7F7F"/>
      <name val="Old english text mt"/>
    </font>
    <font>
      <sz val="13.0"/>
      <color rgb="FF000000"/>
      <name val="Calibri"/>
    </font>
    <font>
      <u/>
      <sz val="11.0"/>
      <color rgb="FF0000FF"/>
      <name val="Calibri"/>
    </font>
    <font>
      <b/>
      <sz val="20.0"/>
      <color rgb="FF5F497A"/>
      <name val="Abaddon™"/>
    </font>
    <font>
      <b/>
      <sz val="24.0"/>
      <color rgb="FFF79646"/>
      <name val="Matura mt script capitals"/>
    </font>
    <font>
      <sz val="10.0"/>
      <color rgb="FF000000"/>
      <name val="Calibri"/>
    </font>
    <font>
      <sz val="9.0"/>
      <color rgb="FF000000"/>
      <name val="Calibri"/>
    </font>
    <font>
      <i/>
      <sz val="10.0"/>
      <color rgb="FF666666"/>
    </font>
    <font>
      <b/>
      <sz val="24.0"/>
      <color rgb="FF00F04A"/>
      <name val="Shoguns clan"/>
    </font>
    <font>
      <b/>
      <sz val="24.0"/>
      <color rgb="FF00B0F0"/>
      <name val="Van helsing"/>
    </font>
  </fonts>
  <fills count="16">
    <fill>
      <patternFill patternType="none"/>
    </fill>
    <fill>
      <patternFill patternType="lightGray"/>
    </fill>
    <fill>
      <patternFill patternType="solid">
        <fgColor rgb="FF000000"/>
        <bgColor rgb="FF000000"/>
      </patternFill>
    </fill>
    <fill>
      <patternFill patternType="solid">
        <fgColor rgb="FFF2DBDB"/>
        <bgColor rgb="FFF2DBDB"/>
      </patternFill>
    </fill>
    <fill>
      <patternFill patternType="solid">
        <fgColor rgb="FFC0504D"/>
        <bgColor rgb="FFC0504D"/>
      </patternFill>
    </fill>
    <fill>
      <patternFill patternType="solid">
        <fgColor rgb="FFF2F2F2"/>
        <bgColor rgb="FFF2F2F2"/>
      </patternFill>
    </fill>
    <fill>
      <patternFill patternType="solid">
        <fgColor rgb="FFA5A5A5"/>
        <bgColor rgb="FFA5A5A5"/>
      </patternFill>
    </fill>
    <fill>
      <patternFill patternType="solid">
        <fgColor rgb="FFE5DFEC"/>
        <bgColor rgb="FFE5DFEC"/>
      </patternFill>
    </fill>
    <fill>
      <patternFill patternType="solid">
        <fgColor rgb="FF8064A2"/>
        <bgColor rgb="FF8064A2"/>
      </patternFill>
    </fill>
    <fill>
      <patternFill patternType="solid">
        <fgColor rgb="FFFDE9D9"/>
        <bgColor rgb="FFFDE9D9"/>
      </patternFill>
    </fill>
    <fill>
      <patternFill patternType="solid">
        <fgColor rgb="FFF79646"/>
        <bgColor rgb="FFF79646"/>
      </patternFill>
    </fill>
    <fill>
      <patternFill patternType="solid">
        <fgColor rgb="FFFFFFFF"/>
        <bgColor rgb="FFFFFFFF"/>
      </patternFill>
    </fill>
    <fill>
      <patternFill patternType="solid">
        <fgColor rgb="FFD1FFDA"/>
        <bgColor rgb="FFD1FFDA"/>
      </patternFill>
    </fill>
    <fill>
      <patternFill patternType="solid">
        <fgColor rgb="FF00A810"/>
        <bgColor rgb="FF00A810"/>
      </patternFill>
    </fill>
    <fill>
      <patternFill patternType="solid">
        <fgColor rgb="FFDAEEF3"/>
        <bgColor rgb="FFDAEEF3"/>
      </patternFill>
    </fill>
    <fill>
      <patternFill patternType="solid">
        <fgColor rgb="FF4BACC6"/>
        <bgColor rgb="FF4BACC6"/>
      </patternFill>
    </fill>
  </fills>
  <borders count="16">
    <border/>
    <border>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right style="thin">
        <color rgb="FFFFFFFF"/>
      </right>
      <bottom style="thin">
        <color rgb="FFFFFFFF"/>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FFFFFF"/>
      </right>
      <bottom style="thin">
        <color rgb="FFFFFFFF"/>
      </bottom>
    </border>
    <border>
      <left style="thin">
        <color rgb="FFFFFFFF"/>
      </left>
    </border>
    <border>
      <right style="thin">
        <color rgb="FFFFFFFF"/>
      </right>
    </border>
  </borders>
  <cellStyleXfs count="1">
    <xf borderId="0" fillId="0" fontId="0" numFmtId="0" applyAlignment="1" applyFont="1"/>
  </cellStyleXfs>
  <cellXfs count="246">
    <xf borderId="0" fillId="0" fontId="0" numFmtId="0" xfId="0" applyAlignment="1" applyFont="1">
      <alignment readingOrder="0" shrinkToFit="0" vertical="bottom" wrapText="1"/>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wrapText="1"/>
    </xf>
    <xf borderId="2" fillId="2" fontId="4" numFmtId="164" xfId="0" applyAlignment="1" applyBorder="1" applyFill="1" applyFont="1" applyNumberFormat="1">
      <alignment horizontal="center" readingOrder="0" shrinkToFit="0" vertical="center" wrapText="1"/>
    </xf>
    <xf borderId="3" fillId="0" fontId="5" numFmtId="164" xfId="0" applyAlignment="1" applyBorder="1" applyFont="1" applyNumberFormat="1">
      <alignment horizontal="center" readingOrder="0" shrinkToFit="0" vertical="bottom" wrapText="0"/>
    </xf>
    <xf borderId="4" fillId="0" fontId="3" numFmtId="0" xfId="0" applyAlignment="1" applyBorder="1" applyFont="1">
      <alignment shrinkToFit="0" wrapText="1"/>
    </xf>
    <xf borderId="5" fillId="0" fontId="3" numFmtId="0" xfId="0" applyAlignment="1" applyBorder="1" applyFont="1">
      <alignment shrinkToFit="0" wrapText="1"/>
    </xf>
    <xf borderId="3" fillId="0" fontId="6" numFmtId="164" xfId="0" applyAlignment="1" applyBorder="1" applyFont="1" applyNumberFormat="1">
      <alignment horizontal="left" readingOrder="0" shrinkToFit="0" vertical="bottom" wrapText="0"/>
    </xf>
    <xf borderId="2" fillId="0" fontId="7" numFmtId="164" xfId="0" applyAlignment="1" applyBorder="1" applyFont="1" applyNumberFormat="1">
      <alignment shrinkToFit="0" vertical="bottom" wrapText="0"/>
    </xf>
    <xf borderId="2" fillId="0" fontId="7" numFmtId="0" xfId="0" applyAlignment="1" applyBorder="1" applyFont="1">
      <alignment horizontal="center" readingOrder="0" shrinkToFit="0" vertical="center" wrapText="0"/>
    </xf>
    <xf borderId="2" fillId="0" fontId="7" numFmtId="0" xfId="0" applyAlignment="1" applyBorder="1" applyFont="1">
      <alignment shrinkToFit="0" vertical="bottom" wrapText="0"/>
    </xf>
    <xf borderId="3" fillId="0" fontId="7" numFmtId="0" xfId="0" applyAlignment="1" applyBorder="1" applyFont="1">
      <alignment shrinkToFit="0" vertical="bottom" wrapText="0"/>
    </xf>
    <xf borderId="2" fillId="0" fontId="8" numFmtId="165" xfId="0" applyAlignment="1" applyBorder="1" applyFont="1" applyNumberFormat="1">
      <alignment horizontal="left" readingOrder="0" shrinkToFit="0" vertical="top" wrapText="0"/>
    </xf>
    <xf borderId="3" fillId="0" fontId="9" numFmtId="164" xfId="0" applyAlignment="1" applyBorder="1" applyFont="1" applyNumberFormat="1">
      <alignment horizontal="center" readingOrder="0" shrinkToFit="0" vertical="top" wrapText="0"/>
    </xf>
    <xf borderId="6" fillId="0" fontId="10" numFmtId="164" xfId="0" applyAlignment="1" applyBorder="1" applyFont="1" applyNumberFormat="1">
      <alignment horizontal="center" readingOrder="0" shrinkToFit="0" vertical="top" wrapText="0"/>
    </xf>
    <xf borderId="7" fillId="0" fontId="3" numFmtId="0" xfId="0" applyAlignment="1" applyBorder="1" applyFont="1">
      <alignment shrinkToFit="0" wrapText="1"/>
    </xf>
    <xf borderId="8" fillId="0" fontId="3" numFmtId="0" xfId="0" applyAlignment="1" applyBorder="1" applyFont="1">
      <alignment shrinkToFit="0" wrapText="1"/>
    </xf>
    <xf borderId="2" fillId="0" fontId="11" numFmtId="0" xfId="0" applyAlignment="1" applyBorder="1" applyFont="1">
      <alignment readingOrder="0" shrinkToFit="0" vertical="bottom" wrapText="0"/>
    </xf>
    <xf borderId="2" fillId="0" fontId="7" numFmtId="164" xfId="0" applyAlignment="1" applyBorder="1" applyFont="1" applyNumberFormat="1">
      <alignment readingOrder="0" shrinkToFit="0" vertical="bottom" wrapText="0"/>
    </xf>
    <xf borderId="5" fillId="0" fontId="7" numFmtId="0" xfId="0" applyAlignment="1" applyBorder="1" applyFont="1">
      <alignment shrinkToFit="0" vertical="bottom" wrapText="0"/>
    </xf>
    <xf borderId="3" fillId="0" fontId="12" numFmtId="164" xfId="0" applyAlignment="1" applyBorder="1" applyFont="1" applyNumberFormat="1">
      <alignment horizontal="center" readingOrder="0" shrinkToFit="0" vertical="bottom" wrapText="0"/>
    </xf>
    <xf borderId="9" fillId="0" fontId="3" numFmtId="0" xfId="0" applyAlignment="1" applyBorder="1" applyFont="1">
      <alignment shrinkToFit="0" wrapText="1"/>
    </xf>
    <xf borderId="10" fillId="0" fontId="3" numFmtId="0" xfId="0" applyAlignment="1" applyBorder="1" applyFont="1">
      <alignment shrinkToFit="0" wrapText="1"/>
    </xf>
    <xf borderId="2" fillId="0" fontId="13" numFmtId="0" xfId="0" applyAlignment="1" applyBorder="1" applyFont="1">
      <alignment horizontal="center" readingOrder="0" shrinkToFit="0" vertical="center" wrapText="1"/>
    </xf>
    <xf borderId="11" fillId="0" fontId="7" numFmtId="164" xfId="0" applyAlignment="1" applyBorder="1" applyFont="1" applyNumberFormat="1">
      <alignment shrinkToFit="0" vertical="bottom" wrapText="0"/>
    </xf>
    <xf borderId="11" fillId="0" fontId="7" numFmtId="0" xfId="0" applyAlignment="1" applyBorder="1" applyFont="1">
      <alignment shrinkToFit="0" vertical="bottom" wrapText="0"/>
    </xf>
    <xf borderId="3" fillId="0" fontId="7" numFmtId="164" xfId="0" applyAlignment="1" applyBorder="1" applyFont="1" applyNumberFormat="1">
      <alignment shrinkToFit="0" wrapText="1"/>
    </xf>
    <xf borderId="0" fillId="0" fontId="13" numFmtId="164" xfId="0" applyAlignment="1" applyFont="1" applyNumberFormat="1">
      <alignment horizontal="center" readingOrder="0" shrinkToFit="0" vertical="center" wrapText="0"/>
    </xf>
    <xf borderId="0" fillId="0" fontId="14" numFmtId="164" xfId="0" applyAlignment="1" applyFont="1" applyNumberFormat="1">
      <alignment horizontal="center" readingOrder="0" shrinkToFit="0" vertical="center" wrapText="1"/>
    </xf>
    <xf borderId="5" fillId="0" fontId="7" numFmtId="164" xfId="0" applyAlignment="1" applyBorder="1" applyFont="1" applyNumberFormat="1">
      <alignment shrinkToFit="0" vertical="bottom" wrapText="0"/>
    </xf>
    <xf borderId="2" fillId="3" fontId="15" numFmtId="164" xfId="0" applyAlignment="1" applyBorder="1" applyFill="1" applyFont="1" applyNumberFormat="1">
      <alignment horizontal="right" readingOrder="0" shrinkToFit="0" vertical="bottom" wrapText="0"/>
    </xf>
    <xf borderId="9" fillId="3" fontId="15" numFmtId="164" xfId="0" applyAlignment="1" applyBorder="1" applyFont="1" applyNumberFormat="1">
      <alignment horizontal="center" shrinkToFit="0" vertical="center" wrapText="0"/>
    </xf>
    <xf borderId="2" fillId="4" fontId="16" numFmtId="164" xfId="0" applyAlignment="1" applyBorder="1" applyFill="1" applyFont="1" applyNumberFormat="1">
      <alignment horizontal="left" readingOrder="0" shrinkToFit="0" vertical="bottom" wrapText="0"/>
    </xf>
    <xf borderId="3" fillId="4" fontId="17" numFmtId="164" xfId="0" applyAlignment="1" applyBorder="1" applyFont="1" applyNumberFormat="1">
      <alignment horizontal="center" readingOrder="0" shrinkToFit="0" vertical="center" wrapText="0"/>
    </xf>
    <xf borderId="3" fillId="4" fontId="17" numFmtId="164" xfId="0" applyAlignment="1" applyBorder="1" applyFont="1" applyNumberFormat="1">
      <alignment horizontal="center" shrinkToFit="0" vertical="center" wrapText="0"/>
    </xf>
    <xf borderId="2" fillId="3" fontId="18" numFmtId="164" xfId="0" applyAlignment="1" applyBorder="1" applyFont="1" applyNumberFormat="1">
      <alignment horizontal="left" readingOrder="0" shrinkToFit="0" vertical="bottom" wrapText="0"/>
    </xf>
    <xf borderId="3" fillId="3" fontId="7" numFmtId="164" xfId="0" applyAlignment="1" applyBorder="1" applyFont="1" applyNumberFormat="1">
      <alignment horizontal="center" readingOrder="0" shrinkToFit="0" vertical="center" wrapText="0"/>
    </xf>
    <xf borderId="3" fillId="3" fontId="7" numFmtId="164" xfId="0" applyAlignment="1" applyBorder="1" applyFont="1" applyNumberFormat="1">
      <alignment horizontal="center" shrinkToFit="0" vertical="center" wrapText="0"/>
    </xf>
    <xf borderId="2" fillId="4" fontId="19" numFmtId="164" xfId="0" applyAlignment="1" applyBorder="1" applyFont="1" applyNumberFormat="1">
      <alignment horizontal="left" readingOrder="0" shrinkToFit="0" vertical="bottom" wrapText="0"/>
    </xf>
    <xf borderId="12" fillId="0" fontId="7" numFmtId="164" xfId="0" applyAlignment="1" applyBorder="1" applyFont="1" applyNumberFormat="1">
      <alignment shrinkToFit="0" vertical="bottom" wrapText="0"/>
    </xf>
    <xf borderId="12" fillId="0" fontId="7" numFmtId="0" xfId="0" applyAlignment="1" applyBorder="1" applyFont="1">
      <alignment shrinkToFit="0" vertical="bottom" wrapText="0"/>
    </xf>
    <xf borderId="0" fillId="0" fontId="14" numFmtId="0" xfId="0" applyAlignment="1" applyFont="1">
      <alignment horizontal="center" readingOrder="0" shrinkToFit="0" vertical="center" wrapText="1"/>
    </xf>
    <xf borderId="4" fillId="0" fontId="14" numFmtId="164" xfId="0" applyAlignment="1" applyBorder="1" applyFont="1" applyNumberFormat="1">
      <alignment horizontal="center" shrinkToFit="0" vertical="center" wrapText="1"/>
    </xf>
    <xf borderId="13" fillId="3" fontId="15" numFmtId="164" xfId="0" applyAlignment="1" applyBorder="1" applyFont="1" applyNumberFormat="1">
      <alignment horizontal="center" shrinkToFit="0" vertical="center" wrapText="0"/>
    </xf>
    <xf borderId="2" fillId="4" fontId="17" numFmtId="164" xfId="0" applyAlignment="1" applyBorder="1" applyFont="1" applyNumberFormat="1">
      <alignment horizontal="center" shrinkToFit="0" vertical="center" wrapText="0"/>
    </xf>
    <xf borderId="2" fillId="3" fontId="7" numFmtId="164" xfId="0" applyAlignment="1" applyBorder="1" applyFont="1" applyNumberFormat="1">
      <alignment horizontal="center" shrinkToFit="0" vertical="center" wrapText="0"/>
    </xf>
    <xf borderId="13" fillId="0" fontId="7" numFmtId="0" xfId="0" applyAlignment="1" applyBorder="1" applyFont="1">
      <alignment shrinkToFit="0" vertical="bottom" wrapText="0"/>
    </xf>
    <xf borderId="11" fillId="3" fontId="18" numFmtId="164" xfId="0" applyAlignment="1" applyBorder="1" applyFont="1" applyNumberFormat="1">
      <alignment horizontal="left" readingOrder="0" shrinkToFit="0" vertical="bottom" wrapText="0"/>
    </xf>
    <xf borderId="6" fillId="3" fontId="7" numFmtId="164" xfId="0" applyAlignment="1" applyBorder="1" applyFont="1" applyNumberFormat="1">
      <alignment horizontal="center" readingOrder="0" shrinkToFit="0" vertical="center" wrapText="0"/>
    </xf>
    <xf borderId="13" fillId="0" fontId="7" numFmtId="164" xfId="0" applyAlignment="1" applyBorder="1" applyFont="1" applyNumberFormat="1">
      <alignment shrinkToFit="0" vertical="bottom" wrapText="0"/>
    </xf>
    <xf borderId="6" fillId="0" fontId="7" numFmtId="0" xfId="0" applyAlignment="1" applyBorder="1" applyFont="1">
      <alignment shrinkToFit="0" vertical="bottom"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horizontal="left" readingOrder="0" shrinkToFit="0" vertical="bottom" wrapText="0"/>
    </xf>
    <xf borderId="0" fillId="0" fontId="20" numFmtId="0" xfId="0" applyAlignment="1" applyFont="1">
      <alignment shrinkToFit="0" vertical="bottom" wrapText="0"/>
    </xf>
    <xf borderId="0" fillId="0" fontId="7" numFmtId="0" xfId="0" applyAlignment="1" applyFont="1">
      <alignment horizontal="center" readingOrder="0" shrinkToFit="0" vertical="center" wrapText="0"/>
    </xf>
    <xf borderId="0" fillId="0" fontId="21" numFmtId="0" xfId="0" applyAlignment="1" applyFont="1">
      <alignment readingOrder="0" shrinkToFit="0" vertical="bottom" wrapText="0"/>
    </xf>
    <xf borderId="0" fillId="0" fontId="7" numFmtId="14" xfId="0" applyAlignment="1" applyFont="1" applyNumberFormat="1">
      <alignment readingOrder="0" shrinkToFit="0" vertical="bottom" wrapText="0"/>
    </xf>
    <xf borderId="0" fillId="0" fontId="7" numFmtId="166" xfId="0" applyAlignment="1" applyFont="1" applyNumberFormat="1">
      <alignment readingOrder="0" shrinkToFit="0" vertical="bottom" wrapText="0"/>
    </xf>
    <xf borderId="0" fillId="0" fontId="7" numFmtId="165" xfId="0" applyAlignment="1" applyFont="1" applyNumberFormat="1">
      <alignment shrinkToFit="0" vertical="bottom" wrapText="0"/>
    </xf>
    <xf borderId="9" fillId="0" fontId="7" numFmtId="0" xfId="0" applyAlignment="1" applyBorder="1" applyFont="1">
      <alignment shrinkToFit="0" vertical="bottom" wrapText="0"/>
    </xf>
    <xf borderId="14" fillId="0" fontId="7" numFmtId="0" xfId="0" applyAlignment="1" applyBorder="1" applyFont="1">
      <alignment shrinkToFit="0" vertical="bottom" wrapText="0"/>
    </xf>
    <xf borderId="7" fillId="0" fontId="22" numFmtId="0" xfId="0" applyAlignment="1" applyBorder="1" applyFont="1">
      <alignment horizontal="center" readingOrder="0" shrinkToFit="0" vertical="bottom" wrapText="0"/>
    </xf>
    <xf borderId="7" fillId="0" fontId="7" numFmtId="0" xfId="0" applyAlignment="1" applyBorder="1" applyFont="1">
      <alignment shrinkToFit="0" vertical="bottom" wrapText="0"/>
    </xf>
    <xf borderId="0" fillId="0" fontId="1" numFmtId="0" xfId="0" applyAlignment="1" applyFont="1">
      <alignment horizontal="left" shrinkToFit="0" vertical="center" wrapText="1"/>
    </xf>
    <xf borderId="0" fillId="0" fontId="2" numFmtId="0" xfId="0" applyAlignment="1" applyFont="1">
      <alignment horizontal="left" shrinkToFit="0" vertical="bottom" wrapText="1"/>
    </xf>
    <xf borderId="2" fillId="2" fontId="23" numFmtId="164" xfId="0" applyAlignment="1" applyBorder="1" applyFont="1" applyNumberFormat="1">
      <alignment horizontal="center" shrinkToFit="0" vertical="center" wrapText="1"/>
    </xf>
    <xf borderId="3" fillId="0" fontId="24" numFmtId="164" xfId="0" applyAlignment="1" applyBorder="1" applyFont="1" applyNumberFormat="1">
      <alignment horizontal="center" readingOrder="0" shrinkToFit="0" vertical="center" wrapText="0"/>
    </xf>
    <xf borderId="3" fillId="0" fontId="6" numFmtId="164" xfId="0" applyAlignment="1" applyBorder="1" applyFont="1" applyNumberFormat="1">
      <alignment horizontal="left" shrinkToFit="0" vertical="bottom" wrapText="0"/>
    </xf>
    <xf borderId="2" fillId="0" fontId="18" numFmtId="164" xfId="0" applyAlignment="1" applyBorder="1" applyFont="1" applyNumberFormat="1">
      <alignment shrinkToFit="0" vertical="bottom" wrapText="0"/>
    </xf>
    <xf borderId="2" fillId="0" fontId="8" numFmtId="165" xfId="0" applyAlignment="1" applyBorder="1" applyFont="1" applyNumberFormat="1">
      <alignment horizontal="center" shrinkToFit="0" vertical="top" wrapText="1"/>
    </xf>
    <xf borderId="3" fillId="0" fontId="25" numFmtId="164" xfId="0" applyAlignment="1" applyBorder="1" applyFont="1" applyNumberFormat="1">
      <alignment horizontal="center" readingOrder="0" shrinkToFit="0" vertical="center" wrapText="0"/>
    </xf>
    <xf borderId="6" fillId="0" fontId="26" numFmtId="164" xfId="0" applyAlignment="1" applyBorder="1" applyFont="1" applyNumberFormat="1">
      <alignment horizontal="left" readingOrder="0" shrinkToFit="0" vertical="top" wrapText="0"/>
    </xf>
    <xf borderId="5" fillId="0" fontId="27" numFmtId="0" xfId="0" applyAlignment="1" applyBorder="1" applyFont="1">
      <alignment horizontal="right" readingOrder="0" shrinkToFit="0" vertical="bottom" wrapText="0"/>
    </xf>
    <xf borderId="3" fillId="0" fontId="12" numFmtId="164" xfId="0" applyAlignment="1" applyBorder="1" applyFont="1" applyNumberFormat="1">
      <alignment horizontal="center" readingOrder="0" shrinkToFit="0" vertical="center" wrapText="0"/>
    </xf>
    <xf borderId="2" fillId="3" fontId="18" numFmtId="164" xfId="0" applyAlignment="1" applyBorder="1" applyFont="1" applyNumberFormat="1">
      <alignment horizontal="left" shrinkToFit="0" vertical="bottom" wrapText="0"/>
    </xf>
    <xf borderId="6" fillId="0" fontId="7" numFmtId="164" xfId="0" applyAlignment="1" applyBorder="1" applyFont="1" applyNumberFormat="1">
      <alignment shrinkToFit="0" vertical="bottom" wrapText="0"/>
    </xf>
    <xf borderId="15" fillId="0" fontId="7" numFmtId="0" xfId="0" applyAlignment="1" applyBorder="1" applyFont="1">
      <alignment shrinkToFit="0" vertical="bottom" wrapText="0"/>
    </xf>
    <xf borderId="2" fillId="2" fontId="4" numFmtId="164" xfId="0" applyAlignment="1" applyBorder="1" applyFont="1" applyNumberFormat="1">
      <alignment horizontal="center" shrinkToFit="0" vertical="center" wrapText="1"/>
    </xf>
    <xf borderId="3" fillId="0" fontId="5" numFmtId="164" xfId="0" applyAlignment="1" applyBorder="1" applyFont="1" applyNumberFormat="1">
      <alignment horizontal="center" shrinkToFit="0" vertical="bottom" wrapText="0"/>
    </xf>
    <xf borderId="2" fillId="0" fontId="7" numFmtId="0" xfId="0" applyAlignment="1" applyBorder="1" applyFont="1">
      <alignment horizontal="center" shrinkToFit="0" vertical="center" wrapText="0"/>
    </xf>
    <xf borderId="2" fillId="0" fontId="8" numFmtId="165" xfId="0" applyAlignment="1" applyBorder="1" applyFont="1" applyNumberFormat="1">
      <alignment horizontal="left" shrinkToFit="0" vertical="top" wrapText="0"/>
    </xf>
    <xf borderId="3" fillId="0" fontId="9" numFmtId="164" xfId="0" applyAlignment="1" applyBorder="1" applyFont="1" applyNumberFormat="1">
      <alignment horizontal="center" shrinkToFit="0" vertical="top" wrapText="0"/>
    </xf>
    <xf borderId="2" fillId="0" fontId="28" numFmtId="0" xfId="0" applyAlignment="1" applyBorder="1" applyFont="1">
      <alignment horizontal="left" readingOrder="0" shrinkToFit="0" vertical="center" wrapText="0"/>
    </xf>
    <xf borderId="3" fillId="0" fontId="29" numFmtId="164" xfId="0" applyAlignment="1" applyBorder="1" applyFont="1" applyNumberFormat="1">
      <alignment horizontal="center" readingOrder="0" shrinkToFit="0" vertical="bottom" wrapText="0"/>
    </xf>
    <xf borderId="2" fillId="5" fontId="15" numFmtId="164" xfId="0" applyAlignment="1" applyBorder="1" applyFill="1" applyFont="1" applyNumberFormat="1">
      <alignment horizontal="right" readingOrder="0" shrinkToFit="0" vertical="bottom" wrapText="0"/>
    </xf>
    <xf borderId="9" fillId="5" fontId="15" numFmtId="164" xfId="0" applyAlignment="1" applyBorder="1" applyFont="1" applyNumberFormat="1">
      <alignment horizontal="center" shrinkToFit="0" vertical="center" wrapText="0"/>
    </xf>
    <xf borderId="2" fillId="6" fontId="16" numFmtId="164" xfId="0" applyAlignment="1" applyBorder="1" applyFill="1" applyFont="1" applyNumberFormat="1">
      <alignment horizontal="left" readingOrder="0" shrinkToFit="0" vertical="bottom" wrapText="0"/>
    </xf>
    <xf borderId="3" fillId="6" fontId="17" numFmtId="164" xfId="0" applyAlignment="1" applyBorder="1" applyFont="1" applyNumberFormat="1">
      <alignment horizontal="center" readingOrder="0" shrinkToFit="0" vertical="center" wrapText="0"/>
    </xf>
    <xf borderId="3" fillId="6" fontId="17" numFmtId="164" xfId="0" applyAlignment="1" applyBorder="1" applyFont="1" applyNumberFormat="1">
      <alignment horizontal="center" shrinkToFit="0" vertical="center" wrapText="0"/>
    </xf>
    <xf borderId="2" fillId="5" fontId="18" numFmtId="164" xfId="0" applyAlignment="1" applyBorder="1" applyFont="1" applyNumberFormat="1">
      <alignment horizontal="left" readingOrder="0" shrinkToFit="0" vertical="bottom" wrapText="0"/>
    </xf>
    <xf borderId="3" fillId="5" fontId="7" numFmtId="164" xfId="0" applyAlignment="1" applyBorder="1" applyFont="1" applyNumberFormat="1">
      <alignment horizontal="center" shrinkToFit="0" vertical="center" wrapText="0"/>
    </xf>
    <xf borderId="2" fillId="6" fontId="17" numFmtId="164" xfId="0" applyAlignment="1" applyBorder="1" applyFont="1" applyNumberFormat="1">
      <alignment horizontal="left" readingOrder="0" shrinkToFit="0" vertical="bottom" wrapText="0"/>
    </xf>
    <xf borderId="3" fillId="5" fontId="7" numFmtId="164" xfId="0" applyAlignment="1" applyBorder="1" applyFont="1" applyNumberFormat="1">
      <alignment horizontal="center" readingOrder="0" shrinkToFit="0" vertical="center" wrapText="0"/>
    </xf>
    <xf borderId="4" fillId="0" fontId="7" numFmtId="0" xfId="0" applyAlignment="1" applyBorder="1" applyFont="1">
      <alignment shrinkToFit="0" vertical="bottom" wrapText="0"/>
    </xf>
    <xf borderId="8" fillId="0" fontId="14" numFmtId="164" xfId="0" applyAlignment="1" applyBorder="1" applyFont="1" applyNumberFormat="1">
      <alignment horizontal="center" shrinkToFit="0" vertical="center" wrapText="1"/>
    </xf>
    <xf borderId="2" fillId="0" fontId="7" numFmtId="164" xfId="0" applyAlignment="1" applyBorder="1" applyFont="1" applyNumberFormat="1">
      <alignment shrinkToFit="0" wrapText="1"/>
    </xf>
    <xf borderId="2" fillId="0" fontId="13" numFmtId="164" xfId="0" applyAlignment="1" applyBorder="1" applyFont="1" applyNumberFormat="1">
      <alignment horizontal="center" shrinkToFit="0" vertical="center" wrapText="0"/>
    </xf>
    <xf borderId="11" fillId="0" fontId="14" numFmtId="0" xfId="0" applyAlignment="1" applyBorder="1" applyFont="1">
      <alignment horizontal="center" shrinkToFit="0" vertical="center" wrapText="1"/>
    </xf>
    <xf borderId="15" fillId="0" fontId="3" numFmtId="0" xfId="0" applyAlignment="1" applyBorder="1" applyFont="1">
      <alignment shrinkToFit="0" wrapText="1"/>
    </xf>
    <xf borderId="2" fillId="0" fontId="15" numFmtId="164" xfId="0" applyAlignment="1" applyBorder="1" applyFont="1" applyNumberFormat="1">
      <alignment horizontal="right" shrinkToFit="0" vertical="bottom" wrapText="0"/>
    </xf>
    <xf borderId="2" fillId="0" fontId="15" numFmtId="164" xfId="0" applyAlignment="1" applyBorder="1" applyFont="1" applyNumberFormat="1">
      <alignment horizontal="center" shrinkToFit="0" vertical="center" wrapText="0"/>
    </xf>
    <xf borderId="12" fillId="0" fontId="3" numFmtId="0" xfId="0" applyAlignment="1" applyBorder="1" applyFont="1">
      <alignment shrinkToFit="0" wrapText="1"/>
    </xf>
    <xf borderId="2" fillId="0" fontId="16" numFmtId="164" xfId="0" applyAlignment="1" applyBorder="1" applyFont="1" applyNumberFormat="1">
      <alignment horizontal="left" shrinkToFit="0" vertical="bottom" wrapText="0"/>
    </xf>
    <xf borderId="2" fillId="0" fontId="17" numFmtId="164" xfId="0" applyAlignment="1" applyBorder="1" applyFont="1" applyNumberFormat="1">
      <alignment horizontal="center" shrinkToFit="0" vertical="center" wrapText="0"/>
    </xf>
    <xf borderId="2" fillId="0" fontId="18" numFmtId="164" xfId="0" applyAlignment="1" applyBorder="1" applyFont="1" applyNumberFormat="1">
      <alignment horizontal="left" shrinkToFit="0" vertical="bottom" wrapText="0"/>
    </xf>
    <xf borderId="2" fillId="0" fontId="7" numFmtId="164" xfId="0" applyAlignment="1" applyBorder="1" applyFont="1" applyNumberFormat="1">
      <alignment horizontal="center" shrinkToFit="0" vertical="center" wrapText="0"/>
    </xf>
    <xf borderId="2" fillId="0" fontId="17" numFmtId="164" xfId="0" applyAlignment="1" applyBorder="1" applyFont="1" applyNumberFormat="1">
      <alignment horizontal="left" shrinkToFit="0" vertical="bottom" wrapText="0"/>
    </xf>
    <xf borderId="13" fillId="0" fontId="3" numFmtId="0" xfId="0" applyAlignment="1" applyBorder="1" applyFont="1">
      <alignment shrinkToFit="0" wrapText="1"/>
    </xf>
    <xf borderId="11" fillId="0" fontId="14" numFmtId="164" xfId="0" applyAlignment="1" applyBorder="1" applyFont="1" applyNumberFormat="1">
      <alignment horizontal="center" shrinkToFit="0" vertical="center" wrapText="1"/>
    </xf>
    <xf borderId="1" fillId="0" fontId="7" numFmtId="0" xfId="0" applyAlignment="1" applyBorder="1" applyFont="1">
      <alignment horizontal="center" readingOrder="0" shrinkToFit="0" vertical="center" wrapText="0"/>
    </xf>
    <xf borderId="4" fillId="0" fontId="7" numFmtId="164" xfId="0" applyAlignment="1" applyBorder="1" applyFont="1" applyNumberFormat="1">
      <alignment shrinkToFit="0" wrapText="1"/>
    </xf>
    <xf borderId="13" fillId="5" fontId="15" numFmtId="164" xfId="0" applyAlignment="1" applyBorder="1" applyFont="1" applyNumberFormat="1">
      <alignment horizontal="center" shrinkToFit="0" vertical="center" wrapText="0"/>
    </xf>
    <xf borderId="3" fillId="5" fontId="15" numFmtId="0" xfId="0" applyAlignment="1" applyBorder="1" applyFont="1">
      <alignment horizontal="center" shrinkToFit="0" vertical="center" wrapText="0"/>
    </xf>
    <xf borderId="5" fillId="5" fontId="15" numFmtId="164" xfId="0" applyAlignment="1" applyBorder="1" applyFont="1" applyNumberFormat="1">
      <alignment horizontal="right" readingOrder="0" shrinkToFit="0" vertical="bottom" wrapText="0"/>
    </xf>
    <xf borderId="2" fillId="6" fontId="17" numFmtId="164" xfId="0" applyAlignment="1" applyBorder="1" applyFont="1" applyNumberFormat="1">
      <alignment horizontal="center" readingOrder="0" shrinkToFit="0" vertical="center" wrapText="0"/>
    </xf>
    <xf borderId="3" fillId="6" fontId="7" numFmtId="0" xfId="0" applyAlignment="1" applyBorder="1" applyFont="1">
      <alignment horizontal="center" shrinkToFit="0" vertical="center" wrapText="0"/>
    </xf>
    <xf borderId="5" fillId="6" fontId="16" numFmtId="164" xfId="0" applyAlignment="1" applyBorder="1" applyFont="1" applyNumberFormat="1">
      <alignment horizontal="left" readingOrder="0" shrinkToFit="0" vertical="bottom" wrapText="0"/>
    </xf>
    <xf borderId="2" fillId="5" fontId="7" numFmtId="164" xfId="0" applyAlignment="1" applyBorder="1" applyFont="1" applyNumberFormat="1">
      <alignment horizontal="center" shrinkToFit="0" vertical="center" wrapText="0"/>
    </xf>
    <xf borderId="5" fillId="5" fontId="18" numFmtId="164" xfId="0" applyAlignment="1" applyBorder="1" applyFont="1" applyNumberFormat="1">
      <alignment horizontal="left" readingOrder="0" shrinkToFit="0" vertical="bottom" wrapText="0"/>
    </xf>
    <xf borderId="2" fillId="6" fontId="17" numFmtId="164" xfId="0" applyAlignment="1" applyBorder="1" applyFont="1" applyNumberFormat="1">
      <alignment horizontal="center" shrinkToFit="0" vertical="center" wrapText="0"/>
    </xf>
    <xf borderId="5" fillId="6" fontId="17" numFmtId="164" xfId="0" applyAlignment="1" applyBorder="1" applyFont="1" applyNumberFormat="1">
      <alignment horizontal="left" readingOrder="0" shrinkToFit="0" vertical="bottom" wrapText="0"/>
    </xf>
    <xf borderId="2" fillId="5" fontId="7" numFmtId="164" xfId="0" applyAlignment="1" applyBorder="1" applyFont="1" applyNumberFormat="1">
      <alignment horizontal="center" readingOrder="0" shrinkToFit="0" vertical="center" wrapText="0"/>
    </xf>
    <xf borderId="3" fillId="5" fontId="7" numFmtId="0" xfId="0" applyAlignment="1" applyBorder="1" applyFont="1">
      <alignment horizontal="center" shrinkToFit="0" vertical="center" wrapText="0"/>
    </xf>
    <xf borderId="8" fillId="5" fontId="18" numFmtId="164" xfId="0" applyAlignment="1" applyBorder="1" applyFont="1" applyNumberFormat="1">
      <alignment horizontal="left" readingOrder="0" shrinkToFit="0" vertical="bottom" wrapText="0"/>
    </xf>
    <xf borderId="6" fillId="5" fontId="7" numFmtId="164" xfId="0" applyAlignment="1" applyBorder="1" applyFont="1" applyNumberFormat="1">
      <alignment horizontal="center" shrinkToFit="0" vertical="center" wrapText="0"/>
    </xf>
    <xf borderId="11" fillId="5" fontId="18" numFmtId="164" xfId="0" applyAlignment="1" applyBorder="1" applyFont="1" applyNumberFormat="1">
      <alignment horizontal="left" readingOrder="0" shrinkToFit="0" vertical="bottom" wrapText="0"/>
    </xf>
    <xf borderId="0" fillId="0" fontId="30" numFmtId="0" xfId="0" applyAlignment="1" applyFont="1">
      <alignment readingOrder="0" shrinkToFit="0" vertical="bottom" wrapText="0"/>
    </xf>
    <xf borderId="13" fillId="0" fontId="15" numFmtId="164" xfId="0" applyAlignment="1" applyBorder="1" applyFont="1" applyNumberFormat="1">
      <alignment horizontal="center" shrinkToFit="0" vertical="center" wrapText="0"/>
    </xf>
    <xf borderId="9" fillId="0" fontId="15" numFmtId="164" xfId="0" applyAlignment="1" applyBorder="1" applyFont="1" applyNumberFormat="1">
      <alignment horizontal="center" shrinkToFit="0" vertical="center" wrapText="0"/>
    </xf>
    <xf borderId="0" fillId="0" fontId="7" numFmtId="0" xfId="0" applyAlignment="1" applyFont="1">
      <alignment horizontal="left" shrinkToFit="0" vertical="bottom" wrapText="0"/>
    </xf>
    <xf borderId="0" fillId="0" fontId="31" numFmtId="0" xfId="0" applyAlignment="1" applyFont="1">
      <alignment shrinkToFit="0" vertical="bottom" wrapText="0"/>
    </xf>
    <xf borderId="3" fillId="0" fontId="9" numFmtId="164" xfId="0" applyAlignment="1" applyBorder="1" applyFont="1" applyNumberFormat="1">
      <alignment horizontal="center" shrinkToFit="0" vertical="bottom" wrapText="0"/>
    </xf>
    <xf borderId="3" fillId="0" fontId="32" numFmtId="164" xfId="0" applyAlignment="1" applyBorder="1" applyFont="1" applyNumberFormat="1">
      <alignment horizontal="center" readingOrder="0" shrinkToFit="0" vertical="bottom" wrapText="0"/>
    </xf>
    <xf borderId="0" fillId="0" fontId="7" numFmtId="0" xfId="0" applyAlignment="1" applyFont="1">
      <alignment horizontal="center" readingOrder="0" shrinkToFit="0" vertical="center" wrapText="1"/>
    </xf>
    <xf borderId="2" fillId="7" fontId="15" numFmtId="164" xfId="0" applyAlignment="1" applyBorder="1" applyFill="1" applyFont="1" applyNumberFormat="1">
      <alignment horizontal="right" readingOrder="0" shrinkToFit="0" vertical="bottom" wrapText="0"/>
    </xf>
    <xf borderId="9" fillId="7" fontId="15" numFmtId="164" xfId="0" applyAlignment="1" applyBorder="1" applyFont="1" applyNumberFormat="1">
      <alignment horizontal="center" shrinkToFit="0" vertical="center" wrapText="0"/>
    </xf>
    <xf borderId="13" fillId="7" fontId="15" numFmtId="164" xfId="0" applyAlignment="1" applyBorder="1" applyFont="1" applyNumberFormat="1">
      <alignment horizontal="center" shrinkToFit="0" vertical="center" wrapText="0"/>
    </xf>
    <xf borderId="2" fillId="8" fontId="16" numFmtId="164" xfId="0" applyAlignment="1" applyBorder="1" applyFill="1" applyFont="1" applyNumberFormat="1">
      <alignment horizontal="left" readingOrder="0" shrinkToFit="0" vertical="bottom" wrapText="0"/>
    </xf>
    <xf borderId="3" fillId="8" fontId="17" numFmtId="164" xfId="0" applyAlignment="1" applyBorder="1" applyFont="1" applyNumberFormat="1">
      <alignment horizontal="center" shrinkToFit="0" vertical="center" wrapText="0"/>
    </xf>
    <xf borderId="3" fillId="8" fontId="17" numFmtId="164" xfId="0" applyAlignment="1" applyBorder="1" applyFont="1" applyNumberFormat="1">
      <alignment horizontal="center" readingOrder="0" shrinkToFit="0" vertical="center" wrapText="0"/>
    </xf>
    <xf borderId="2" fillId="8" fontId="17" numFmtId="164" xfId="0" applyAlignment="1" applyBorder="1" applyFont="1" applyNumberFormat="1">
      <alignment horizontal="center" shrinkToFit="0" vertical="center" wrapText="0"/>
    </xf>
    <xf borderId="2" fillId="7" fontId="18" numFmtId="164" xfId="0" applyAlignment="1" applyBorder="1" applyFont="1" applyNumberFormat="1">
      <alignment horizontal="left" readingOrder="0" shrinkToFit="0" vertical="bottom" wrapText="0"/>
    </xf>
    <xf borderId="3" fillId="7" fontId="7" numFmtId="164" xfId="0" applyAlignment="1" applyBorder="1" applyFont="1" applyNumberFormat="1">
      <alignment horizontal="center" shrinkToFit="0" vertical="center" wrapText="0"/>
    </xf>
    <xf borderId="3" fillId="7" fontId="7" numFmtId="164" xfId="0" applyAlignment="1" applyBorder="1" applyFont="1" applyNumberFormat="1">
      <alignment horizontal="center" readingOrder="0" shrinkToFit="0" vertical="center" wrapText="0"/>
    </xf>
    <xf borderId="2" fillId="7" fontId="7" numFmtId="164" xfId="0" applyAlignment="1" applyBorder="1" applyFont="1" applyNumberFormat="1">
      <alignment horizontal="center" shrinkToFit="0" vertical="center" wrapText="0"/>
    </xf>
    <xf borderId="2" fillId="8" fontId="19" numFmtId="164" xfId="0" applyAlignment="1" applyBorder="1" applyFont="1" applyNumberFormat="1">
      <alignment horizontal="left" readingOrder="0" shrinkToFit="0" vertical="bottom" wrapText="0"/>
    </xf>
    <xf borderId="5" fillId="7" fontId="15" numFmtId="164" xfId="0" applyAlignment="1" applyBorder="1" applyFont="1" applyNumberFormat="1">
      <alignment horizontal="right" readingOrder="0" shrinkToFit="0" vertical="bottom" wrapText="0"/>
    </xf>
    <xf borderId="5" fillId="8" fontId="16" numFmtId="164" xfId="0" applyAlignment="1" applyBorder="1" applyFont="1" applyNumberFormat="1">
      <alignment horizontal="left" readingOrder="0" shrinkToFit="0" vertical="bottom" wrapText="0"/>
    </xf>
    <xf borderId="5" fillId="0" fontId="7" numFmtId="164" xfId="0" applyAlignment="1" applyBorder="1" applyFont="1" applyNumberFormat="1">
      <alignment horizontal="left" shrinkToFit="0" vertical="bottom" wrapText="0"/>
    </xf>
    <xf borderId="5" fillId="7" fontId="18" numFmtId="164" xfId="0" applyAlignment="1" applyBorder="1" applyFont="1" applyNumberFormat="1">
      <alignment horizontal="left" readingOrder="0" shrinkToFit="0" vertical="bottom" wrapText="0"/>
    </xf>
    <xf borderId="5" fillId="8" fontId="19" numFmtId="164" xfId="0" applyAlignment="1" applyBorder="1" applyFont="1" applyNumberFormat="1">
      <alignment horizontal="left" readingOrder="0" shrinkToFit="0" vertical="bottom" wrapText="0"/>
    </xf>
    <xf borderId="0" fillId="0" fontId="30" numFmtId="0" xfId="0" applyAlignment="1" applyFont="1">
      <alignment shrinkToFit="0" vertical="bottom" wrapText="0"/>
    </xf>
    <xf borderId="3" fillId="0" fontId="24" numFmtId="164" xfId="0" applyAlignment="1" applyBorder="1" applyFont="1" applyNumberFormat="1">
      <alignment horizontal="center" shrinkToFit="0" vertical="bottom" wrapText="0"/>
    </xf>
    <xf borderId="2" fillId="0" fontId="8" numFmtId="165" xfId="0" applyAlignment="1" applyBorder="1" applyFont="1" applyNumberFormat="1">
      <alignment horizontal="center" shrinkToFit="0" vertical="center" wrapText="1"/>
    </xf>
    <xf borderId="3" fillId="0" fontId="25" numFmtId="164" xfId="0" applyAlignment="1" applyBorder="1" applyFont="1" applyNumberFormat="1">
      <alignment horizontal="center" shrinkToFit="0" vertical="bottom" wrapText="0"/>
    </xf>
    <xf borderId="2" fillId="0" fontId="18" numFmtId="164" xfId="0" applyAlignment="1" applyBorder="1" applyFont="1" applyNumberFormat="1">
      <alignment shrinkToFit="0" vertical="top" wrapText="0"/>
    </xf>
    <xf borderId="2" fillId="0" fontId="18" numFmtId="164" xfId="0" applyAlignment="1" applyBorder="1" applyFont="1" applyNumberFormat="1">
      <alignment horizontal="center" shrinkToFit="0" vertical="top" wrapText="0"/>
    </xf>
    <xf borderId="5" fillId="0" fontId="27" numFmtId="0" xfId="0" applyAlignment="1" applyBorder="1" applyFont="1">
      <alignment horizontal="right" shrinkToFit="0" vertical="bottom" wrapText="0"/>
    </xf>
    <xf borderId="2" fillId="0" fontId="7" numFmtId="0" xfId="0" applyAlignment="1" applyBorder="1" applyFont="1">
      <alignment readingOrder="0" shrinkToFit="0" vertical="bottom" wrapText="0"/>
    </xf>
    <xf borderId="2" fillId="0" fontId="8" numFmtId="164" xfId="0" applyAlignment="1" applyBorder="1" applyFont="1" applyNumberFormat="1">
      <alignment horizontal="left" shrinkToFit="0" vertical="top" wrapText="0"/>
    </xf>
    <xf borderId="3" fillId="0" fontId="33" numFmtId="164" xfId="0" applyAlignment="1" applyBorder="1" applyFont="1" applyNumberFormat="1">
      <alignment horizontal="center" readingOrder="0" shrinkToFit="0" vertical="bottom" wrapText="0"/>
    </xf>
    <xf borderId="11" fillId="0" fontId="7" numFmtId="0" xfId="0" applyAlignment="1" applyBorder="1" applyFont="1">
      <alignment horizontal="center" shrinkToFit="0" vertical="bottom" wrapText="0"/>
    </xf>
    <xf borderId="0" fillId="0" fontId="34" numFmtId="0" xfId="0" applyAlignment="1" applyFont="1">
      <alignment readingOrder="0" shrinkToFit="0" vertical="bottom" wrapText="0"/>
    </xf>
    <xf borderId="1" fillId="0" fontId="34" numFmtId="0" xfId="0" applyAlignment="1" applyBorder="1" applyFont="1">
      <alignment readingOrder="0" shrinkToFit="0" vertical="bottom" wrapText="0"/>
    </xf>
    <xf borderId="2" fillId="9" fontId="15" numFmtId="164" xfId="0" applyAlignment="1" applyBorder="1" applyFill="1" applyFont="1" applyNumberFormat="1">
      <alignment horizontal="right" readingOrder="0" shrinkToFit="0" vertical="bottom" wrapText="0"/>
    </xf>
    <xf borderId="13" fillId="9" fontId="15" numFmtId="164" xfId="0" applyAlignment="1" applyBorder="1" applyFont="1" applyNumberFormat="1">
      <alignment horizontal="center" shrinkToFit="0" vertical="center" wrapText="0"/>
    </xf>
    <xf borderId="9" fillId="9" fontId="15" numFmtId="164" xfId="0" applyAlignment="1" applyBorder="1" applyFont="1" applyNumberFormat="1">
      <alignment horizontal="center" shrinkToFit="0" vertical="center" wrapText="0"/>
    </xf>
    <xf borderId="3" fillId="9" fontId="15" numFmtId="164" xfId="0" applyAlignment="1" applyBorder="1" applyFont="1" applyNumberFormat="1">
      <alignment horizontal="center" shrinkToFit="0" vertical="center" wrapText="0"/>
    </xf>
    <xf borderId="2" fillId="10" fontId="16" numFmtId="164" xfId="0" applyAlignment="1" applyBorder="1" applyFill="1" applyFont="1" applyNumberFormat="1">
      <alignment horizontal="left" readingOrder="0" shrinkToFit="0" vertical="bottom" wrapText="0"/>
    </xf>
    <xf borderId="2" fillId="10" fontId="17" numFmtId="164" xfId="0" applyAlignment="1" applyBorder="1" applyFont="1" applyNumberFormat="1">
      <alignment horizontal="center" shrinkToFit="0" vertical="center" wrapText="0"/>
    </xf>
    <xf borderId="3" fillId="10" fontId="17" numFmtId="164" xfId="0" applyAlignment="1" applyBorder="1" applyFont="1" applyNumberFormat="1">
      <alignment horizontal="center" shrinkToFit="0" vertical="center" wrapText="0"/>
    </xf>
    <xf borderId="2" fillId="9" fontId="18" numFmtId="164" xfId="0" applyAlignment="1" applyBorder="1" applyFont="1" applyNumberFormat="1">
      <alignment horizontal="left" readingOrder="0" shrinkToFit="0" vertical="bottom" wrapText="0"/>
    </xf>
    <xf borderId="2" fillId="9" fontId="7" numFmtId="164" xfId="0" applyAlignment="1" applyBorder="1" applyFont="1" applyNumberFormat="1">
      <alignment horizontal="center" shrinkToFit="0" vertical="center" wrapText="0"/>
    </xf>
    <xf borderId="3" fillId="9" fontId="7" numFmtId="164" xfId="0" applyAlignment="1" applyBorder="1" applyFont="1" applyNumberFormat="1">
      <alignment horizontal="center" shrinkToFit="0" vertical="center" wrapText="0"/>
    </xf>
    <xf borderId="2" fillId="10" fontId="19" numFmtId="164" xfId="0" applyAlignment="1" applyBorder="1" applyFont="1" applyNumberFormat="1">
      <alignment horizontal="left" readingOrder="0" shrinkToFit="0" vertical="bottom" wrapText="0"/>
    </xf>
    <xf borderId="3" fillId="9" fontId="7" numFmtId="164" xfId="0" applyAlignment="1" applyBorder="1" applyFont="1" applyNumberFormat="1">
      <alignment horizontal="center" readingOrder="0" shrinkToFit="0" vertical="center" wrapText="0"/>
    </xf>
    <xf borderId="6" fillId="9" fontId="7" numFmtId="164" xfId="0" applyAlignment="1" applyBorder="1" applyFont="1" applyNumberFormat="1">
      <alignment horizontal="center" shrinkToFit="0" vertical="center" wrapText="0"/>
    </xf>
    <xf borderId="5" fillId="0" fontId="13" numFmtId="164" xfId="0" applyAlignment="1" applyBorder="1" applyFont="1" applyNumberFormat="1">
      <alignment horizontal="center" shrinkToFit="0" vertical="center" wrapText="0"/>
    </xf>
    <xf borderId="2" fillId="11" fontId="7" numFmtId="0" xfId="0" applyAlignment="1" applyBorder="1" applyFill="1" applyFont="1">
      <alignment shrinkToFit="0" vertical="bottom" wrapText="0"/>
    </xf>
    <xf borderId="5" fillId="0" fontId="15" numFmtId="164" xfId="0" applyAlignment="1" applyBorder="1" applyFont="1" applyNumberFormat="1">
      <alignment horizontal="center" shrinkToFit="0" vertical="center" wrapText="0"/>
    </xf>
    <xf borderId="3" fillId="10" fontId="17" numFmtId="164" xfId="0" applyAlignment="1" applyBorder="1" applyFont="1" applyNumberFormat="1">
      <alignment horizontal="center" readingOrder="0" shrinkToFit="0" vertical="center" wrapText="0"/>
    </xf>
    <xf borderId="5" fillId="0" fontId="35" numFmtId="164" xfId="0" applyAlignment="1" applyBorder="1" applyFont="1" applyNumberFormat="1">
      <alignment shrinkToFit="0" vertical="bottom" wrapText="0"/>
    </xf>
    <xf borderId="5" fillId="0" fontId="17" numFmtId="164" xfId="0" applyAlignment="1" applyBorder="1" applyFont="1" applyNumberFormat="1">
      <alignment horizontal="center" shrinkToFit="0" vertical="center" wrapText="0"/>
    </xf>
    <xf borderId="5" fillId="0" fontId="7" numFmtId="164" xfId="0" applyAlignment="1" applyBorder="1" applyFont="1" applyNumberFormat="1">
      <alignment horizontal="center" shrinkToFit="0" vertical="center" wrapText="0"/>
    </xf>
    <xf borderId="2" fillId="11" fontId="7" numFmtId="164" xfId="0" applyAlignment="1" applyBorder="1" applyFont="1" applyNumberFormat="1">
      <alignment shrinkToFit="0" vertical="bottom" wrapText="0"/>
    </xf>
    <xf borderId="1" fillId="0" fontId="13" numFmtId="164" xfId="0" applyAlignment="1" applyBorder="1" applyFont="1" applyNumberFormat="1">
      <alignment horizontal="center" readingOrder="0" shrinkToFit="0" vertical="center" wrapText="0"/>
    </xf>
    <xf borderId="6" fillId="9" fontId="7" numFmtId="164" xfId="0" applyAlignment="1" applyBorder="1" applyFont="1" applyNumberFormat="1">
      <alignment horizontal="center" readingOrder="0" shrinkToFit="0" vertical="center" wrapText="0"/>
    </xf>
    <xf borderId="0" fillId="0" fontId="1" numFmtId="0" xfId="0" applyAlignment="1" applyFont="1">
      <alignment shrinkToFit="0" wrapText="1"/>
    </xf>
    <xf borderId="0" fillId="0" fontId="36" numFmtId="0" xfId="0" applyAlignment="1" applyFont="1">
      <alignment shrinkToFit="0" wrapText="1"/>
    </xf>
    <xf borderId="2" fillId="0" fontId="9" numFmtId="164" xfId="0" applyAlignment="1" applyBorder="1" applyFont="1" applyNumberFormat="1">
      <alignment horizontal="center" shrinkToFit="0" vertical="top" wrapText="0"/>
    </xf>
    <xf borderId="3" fillId="0" fontId="7" numFmtId="164" xfId="0" applyAlignment="1" applyBorder="1" applyFont="1" applyNumberFormat="1">
      <alignment shrinkToFit="0" vertical="bottom" wrapText="0"/>
    </xf>
    <xf borderId="7" fillId="0" fontId="7" numFmtId="164" xfId="0" applyAlignment="1" applyBorder="1" applyFont="1" applyNumberFormat="1">
      <alignment horizontal="center" readingOrder="0" shrinkToFit="0" vertical="bottom" wrapText="0"/>
    </xf>
    <xf borderId="8" fillId="0" fontId="7" numFmtId="164" xfId="0" applyAlignment="1" applyBorder="1" applyFont="1" applyNumberFormat="1">
      <alignment shrinkToFit="0" vertical="bottom" wrapText="0"/>
    </xf>
    <xf borderId="0" fillId="0" fontId="7" numFmtId="164" xfId="0" applyAlignment="1" applyFont="1" applyNumberFormat="1">
      <alignment horizontal="center" readingOrder="0" shrinkToFit="0" vertical="bottom" wrapText="0"/>
    </xf>
    <xf borderId="8" fillId="0" fontId="7" numFmtId="0" xfId="0" applyAlignment="1" applyBorder="1" applyFont="1">
      <alignment shrinkToFit="0" vertical="bottom" wrapText="0"/>
    </xf>
    <xf borderId="0" fillId="0" fontId="13" numFmtId="0" xfId="0" applyAlignment="1" applyFont="1">
      <alignment horizontal="center" readingOrder="0" shrinkToFit="0" vertical="center" wrapText="0"/>
    </xf>
    <xf borderId="13" fillId="9" fontId="15" numFmtId="167" xfId="0" applyAlignment="1" applyBorder="1" applyFont="1" applyNumberFormat="1">
      <alignment horizontal="center" shrinkToFit="0" vertical="center" wrapText="0"/>
    </xf>
    <xf borderId="5" fillId="0" fontId="14" numFmtId="164" xfId="0" applyAlignment="1" applyBorder="1" applyFont="1" applyNumberFormat="1">
      <alignment horizontal="center" shrinkToFit="0" vertical="center" wrapText="1"/>
    </xf>
    <xf borderId="5" fillId="0" fontId="7" numFmtId="0" xfId="0" applyAlignment="1" applyBorder="1" applyFont="1">
      <alignment horizontal="center" shrinkToFit="0" vertical="center" wrapText="0"/>
    </xf>
    <xf borderId="5" fillId="0" fontId="14" numFmtId="0" xfId="0" applyAlignment="1" applyBorder="1" applyFont="1">
      <alignment horizontal="center" shrinkToFit="0" vertical="center" wrapText="1"/>
    </xf>
    <xf borderId="2" fillId="0" fontId="14" numFmtId="0" xfId="0" applyAlignment="1" applyBorder="1" applyFont="1">
      <alignment horizontal="center" shrinkToFit="0" vertical="center" wrapText="1"/>
    </xf>
    <xf borderId="2" fillId="0" fontId="35" numFmtId="164" xfId="0" applyAlignment="1" applyBorder="1" applyFont="1" applyNumberFormat="1">
      <alignment shrinkToFit="0" vertical="bottom" wrapText="0"/>
    </xf>
    <xf borderId="2" fillId="9" fontId="15" numFmtId="164" xfId="0" applyAlignment="1" applyBorder="1" applyFont="1" applyNumberFormat="1">
      <alignment horizontal="center" shrinkToFit="0" vertical="center" wrapText="0"/>
    </xf>
    <xf borderId="3" fillId="0" fontId="37" numFmtId="164" xfId="0" applyAlignment="1" applyBorder="1" applyFont="1" applyNumberFormat="1">
      <alignment horizontal="center" readingOrder="0" shrinkToFit="0" vertical="bottom" wrapText="0"/>
    </xf>
    <xf borderId="2" fillId="0" fontId="7" numFmtId="164" xfId="0" applyAlignment="1" applyBorder="1" applyFont="1" applyNumberFormat="1">
      <alignment horizontal="center" readingOrder="0" shrinkToFit="0" vertical="center" wrapText="0"/>
    </xf>
    <xf borderId="2" fillId="12" fontId="15" numFmtId="164" xfId="0" applyAlignment="1" applyBorder="1" applyFill="1" applyFont="1" applyNumberFormat="1">
      <alignment horizontal="right" readingOrder="0" shrinkToFit="0" vertical="bottom" wrapText="0"/>
    </xf>
    <xf borderId="9" fillId="12" fontId="15" numFmtId="164" xfId="0" applyAlignment="1" applyBorder="1" applyFont="1" applyNumberFormat="1">
      <alignment horizontal="center" shrinkToFit="0" vertical="center" wrapText="0"/>
    </xf>
    <xf borderId="2" fillId="13" fontId="16" numFmtId="164" xfId="0" applyAlignment="1" applyBorder="1" applyFill="1" applyFont="1" applyNumberFormat="1">
      <alignment horizontal="left" readingOrder="0" shrinkToFit="0" vertical="bottom" wrapText="0"/>
    </xf>
    <xf borderId="3" fillId="13" fontId="17" numFmtId="164" xfId="0" applyAlignment="1" applyBorder="1" applyFont="1" applyNumberFormat="1">
      <alignment horizontal="center" readingOrder="0" shrinkToFit="0" vertical="center" wrapText="0"/>
    </xf>
    <xf borderId="3" fillId="13" fontId="17" numFmtId="164" xfId="0" applyAlignment="1" applyBorder="1" applyFont="1" applyNumberFormat="1">
      <alignment horizontal="center" shrinkToFit="0" vertical="center" wrapText="0"/>
    </xf>
    <xf borderId="2" fillId="12" fontId="18" numFmtId="164" xfId="0" applyAlignment="1" applyBorder="1" applyFont="1" applyNumberFormat="1">
      <alignment horizontal="left" readingOrder="0" shrinkToFit="0" vertical="bottom" wrapText="0"/>
    </xf>
    <xf borderId="3" fillId="12" fontId="7" numFmtId="164" xfId="0" applyAlignment="1" applyBorder="1" applyFont="1" applyNumberFormat="1">
      <alignment horizontal="center" shrinkToFit="0" vertical="center" wrapText="0"/>
    </xf>
    <xf borderId="2" fillId="13" fontId="19" numFmtId="164" xfId="0" applyAlignment="1" applyBorder="1" applyFont="1" applyNumberFormat="1">
      <alignment horizontal="left" readingOrder="0" shrinkToFit="0" vertical="bottom" wrapText="0"/>
    </xf>
    <xf borderId="3" fillId="12" fontId="7" numFmtId="164" xfId="0" applyAlignment="1" applyBorder="1" applyFont="1" applyNumberFormat="1">
      <alignment horizontal="center" readingOrder="0" shrinkToFit="0" vertical="center" wrapText="0"/>
    </xf>
    <xf borderId="13" fillId="12" fontId="15" numFmtId="164" xfId="0" applyAlignment="1" applyBorder="1" applyFont="1" applyNumberFormat="1">
      <alignment horizontal="center" shrinkToFit="0" vertical="center" wrapText="0"/>
    </xf>
    <xf borderId="2" fillId="13" fontId="17" numFmtId="164" xfId="0" applyAlignment="1" applyBorder="1" applyFont="1" applyNumberFormat="1">
      <alignment horizontal="center" shrinkToFit="0" vertical="center" wrapText="0"/>
    </xf>
    <xf borderId="2" fillId="12" fontId="7" numFmtId="164" xfId="0" applyAlignment="1" applyBorder="1" applyFont="1" applyNumberFormat="1">
      <alignment horizontal="center" shrinkToFit="0" vertical="center" wrapText="0"/>
    </xf>
    <xf borderId="3" fillId="0" fontId="38" numFmtId="164" xfId="0" applyAlignment="1" applyBorder="1" applyFont="1" applyNumberFormat="1">
      <alignment horizontal="center" readingOrder="0" shrinkToFit="0" vertical="bottom" wrapText="0"/>
    </xf>
    <xf borderId="2" fillId="14" fontId="15" numFmtId="164" xfId="0" applyAlignment="1" applyBorder="1" applyFill="1" applyFont="1" applyNumberFormat="1">
      <alignment horizontal="right" readingOrder="0" shrinkToFit="0" vertical="bottom" wrapText="0"/>
    </xf>
    <xf borderId="9" fillId="14" fontId="15" numFmtId="164" xfId="0" applyAlignment="1" applyBorder="1" applyFont="1" applyNumberFormat="1">
      <alignment horizontal="center" shrinkToFit="0" vertical="center" wrapText="0"/>
    </xf>
    <xf borderId="2" fillId="15" fontId="16" numFmtId="164" xfId="0" applyAlignment="1" applyBorder="1" applyFill="1" applyFont="1" applyNumberFormat="1">
      <alignment horizontal="left" readingOrder="0" shrinkToFit="0" vertical="bottom" wrapText="0"/>
    </xf>
    <xf borderId="3" fillId="15" fontId="17" numFmtId="164" xfId="0" applyAlignment="1" applyBorder="1" applyFont="1" applyNumberFormat="1">
      <alignment horizontal="center" readingOrder="0" shrinkToFit="0" vertical="center" wrapText="0"/>
    </xf>
    <xf borderId="3" fillId="15" fontId="17" numFmtId="164" xfId="0" applyAlignment="1" applyBorder="1" applyFont="1" applyNumberFormat="1">
      <alignment horizontal="center" shrinkToFit="0" vertical="center" wrapText="0"/>
    </xf>
    <xf borderId="2" fillId="14" fontId="18" numFmtId="164" xfId="0" applyAlignment="1" applyBorder="1" applyFont="1" applyNumberFormat="1">
      <alignment horizontal="left" readingOrder="0" shrinkToFit="0" vertical="bottom" wrapText="0"/>
    </xf>
    <xf borderId="3" fillId="14" fontId="7" numFmtId="164" xfId="0" applyAlignment="1" applyBorder="1" applyFont="1" applyNumberFormat="1">
      <alignment horizontal="center" readingOrder="0" shrinkToFit="0" vertical="center" wrapText="0"/>
    </xf>
    <xf borderId="3" fillId="14" fontId="7" numFmtId="164" xfId="0" applyAlignment="1" applyBorder="1" applyFont="1" applyNumberFormat="1">
      <alignment horizontal="center" shrinkToFit="0" vertical="center" wrapText="0"/>
    </xf>
    <xf borderId="2" fillId="15" fontId="17" numFmtId="164" xfId="0" applyAlignment="1" applyBorder="1" applyFont="1" applyNumberFormat="1">
      <alignment horizontal="left" readingOrder="0" shrinkToFit="0" vertical="bottom" wrapText="0"/>
    </xf>
    <xf borderId="13" fillId="14" fontId="15" numFmtId="164" xfId="0" applyAlignment="1" applyBorder="1" applyFont="1" applyNumberFormat="1">
      <alignment horizontal="center" shrinkToFit="0" vertical="center" wrapText="0"/>
    </xf>
    <xf borderId="5" fillId="14" fontId="15" numFmtId="164" xfId="0" applyAlignment="1" applyBorder="1" applyFont="1" applyNumberFormat="1">
      <alignment horizontal="right" readingOrder="0" shrinkToFit="0" vertical="bottom" wrapText="0"/>
    </xf>
    <xf borderId="2" fillId="15" fontId="17" numFmtId="164" xfId="0" applyAlignment="1" applyBorder="1" applyFont="1" applyNumberFormat="1">
      <alignment horizontal="center" shrinkToFit="0" vertical="center" wrapText="0"/>
    </xf>
    <xf borderId="5" fillId="15" fontId="16" numFmtId="164" xfId="0" applyAlignment="1" applyBorder="1" applyFont="1" applyNumberFormat="1">
      <alignment horizontal="left" readingOrder="0" shrinkToFit="0" vertical="bottom" wrapText="0"/>
    </xf>
    <xf borderId="2" fillId="14" fontId="7" numFmtId="164" xfId="0" applyAlignment="1" applyBorder="1" applyFont="1" applyNumberFormat="1">
      <alignment horizontal="center" shrinkToFit="0" vertical="center" wrapText="0"/>
    </xf>
    <xf borderId="5" fillId="14" fontId="18" numFmtId="164" xfId="0" applyAlignment="1" applyBorder="1" applyFont="1" applyNumberFormat="1">
      <alignment horizontal="left" readingOrder="0" shrinkToFit="0" vertical="bottom" wrapText="0"/>
    </xf>
    <xf borderId="2" fillId="15" fontId="19" numFmtId="164" xfId="0" applyAlignment="1" applyBorder="1" applyFont="1" applyNumberFormat="1">
      <alignment horizontal="left" readingOrder="0" shrinkToFit="0" vertical="bottom" wrapText="0"/>
    </xf>
    <xf borderId="5" fillId="15" fontId="19" numFmtId="164" xfId="0" applyAlignment="1" applyBorder="1" applyFont="1" applyNumberFormat="1">
      <alignment horizontal="left" readingOrder="0" shrinkToFit="0" vertical="bottom" wrapText="0"/>
    </xf>
    <xf borderId="3" fillId="0" fontId="18" numFmtId="164" xfId="0" applyAlignment="1" applyBorder="1" applyFont="1" applyNumberFormat="1">
      <alignment shrinkToFit="0" wrapText="1"/>
    </xf>
    <xf borderId="4" fillId="0" fontId="18" numFmtId="164" xfId="0" applyAlignment="1" applyBorder="1" applyFont="1" applyNumberFormat="1">
      <alignment shrinkToFit="0" wrapText="1"/>
    </xf>
    <xf borderId="6" fillId="14" fontId="7" numFmtId="164" xfId="0" applyAlignment="1" applyBorder="1" applyFont="1" applyNumberFormat="1">
      <alignment horizontal="center" shrinkToFit="0" vertical="center" wrapText="0"/>
    </xf>
    <xf borderId="11" fillId="14" fontId="18" numFmtId="164" xfId="0" applyAlignment="1" applyBorder="1" applyFont="1" applyNumberFormat="1">
      <alignment horizontal="left" readingOrder="0" shrinkToFit="0" vertical="bottom" wrapText="0"/>
    </xf>
    <xf borderId="6" fillId="14" fontId="7" numFmtId="164" xfId="0" applyAlignment="1" applyBorder="1" applyFont="1" applyNumberFormat="1">
      <alignment horizontal="center" readingOrder="0" shrinkToFit="0" vertical="center" wrapText="0"/>
    </xf>
    <xf borderId="11" fillId="14" fontId="18" numFmtId="164" xfId="0" applyAlignment="1" applyBorder="1" applyFont="1" applyNumberFormat="1">
      <alignment horizontal="left" shrinkToFit="0" vertical="bottom" wrapText="0"/>
    </xf>
    <xf borderId="2" fillId="0" fontId="18" numFmtId="164" xfId="0" applyAlignment="1" applyBorder="1" applyFont="1" applyNumberFormat="1">
      <alignment horizontal="center" shrinkToFit="0" vertical="bottom" wrapText="0"/>
    </xf>
    <xf borderId="2" fillId="14" fontId="18" numFmtId="164" xfId="0" applyAlignment="1" applyBorder="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hyperlink" Target="http://www.diablofans.com/news/1423-106-official-patch-notes-patch-107-in-the-coming-weeks-heroes-rise-darkness-falls-ebook-now-available/" TargetMode="External"/><Relationship Id="rId4" Type="http://schemas.openxmlformats.org/officeDocument/2006/relationships/hyperlink" Target="http://www.diablofans.com/news/1551-107-is-live/" TargetMode="External"/><Relationship Id="rId5" Type="http://schemas.openxmlformats.org/officeDocument/2006/relationships/hyperlink" Target="http://us.battle.net/d3/en/blog/12671560/" TargetMode="External"/><Relationship Id="rId6" Type="http://schemas.openxmlformats.org/officeDocument/2006/relationships/hyperlink" Target="http://us.battle.net/d3/en/blog/14397824/patch-206-now-live-6-10-2014" TargetMode="External"/><Relationship Id="rId7" Type="http://schemas.openxmlformats.org/officeDocument/2006/relationships/hyperlink" Target="http://us.battle.net/d3/en/blog/15487814/"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endspace.com/file/x9jkvn" TargetMode="External"/><Relationship Id="rId2" Type="http://schemas.openxmlformats.org/officeDocument/2006/relationships/hyperlink" Target="https://www.paypal.com/cgi-bin/webscr?cmd=_donations&amp;business=YGJTBPRTJZD4S&amp;lc=US&amp;item_name=%5bD%20III%5d%20Proc%20Coefficients%20Sheet&amp;item_number=ZzEzZ&amp;currency_code=USD&amp;bn=PP%2dDonationsBF%3abtn_donateCC_LG%2egif%3aNonHosted"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1.0"/>
    <col customWidth="1" min="2" max="4" width="8.75"/>
    <col customWidth="1" min="5" max="5" width="23.13"/>
    <col customWidth="1" min="6" max="8" width="8.75"/>
    <col customWidth="1" min="9" max="9" width="23.13"/>
    <col customWidth="1" min="10" max="12" width="8.75"/>
    <col customWidth="1" min="13" max="13" width="38.38"/>
    <col customWidth="1" min="14" max="16" width="8.75"/>
    <col customWidth="1" min="17" max="17" width="24.13"/>
    <col customWidth="1" min="18" max="20" width="8.75"/>
  </cols>
  <sheetData>
    <row r="1" ht="123.0" customHeight="1">
      <c r="A1" s="1" t="s">
        <v>0</v>
      </c>
    </row>
    <row r="2" ht="22.5" customHeight="1">
      <c r="A2" s="2" t="s">
        <v>1</v>
      </c>
    </row>
    <row r="3" ht="22.5" customHeight="1">
      <c r="A3" s="3"/>
      <c r="B3" s="4"/>
      <c r="C3" s="4"/>
      <c r="D3" s="4"/>
      <c r="E3" s="4"/>
      <c r="F3" s="4"/>
      <c r="G3" s="4"/>
      <c r="H3" s="4"/>
      <c r="I3" s="4"/>
      <c r="J3" s="4"/>
      <c r="K3" s="4"/>
      <c r="L3" s="4"/>
      <c r="M3" s="4"/>
      <c r="N3" s="4"/>
      <c r="O3" s="4"/>
      <c r="P3" s="4"/>
      <c r="Q3" s="4"/>
      <c r="R3" s="4"/>
      <c r="S3" s="4"/>
      <c r="T3" s="4"/>
    </row>
    <row r="4" ht="22.5" customHeight="1">
      <c r="A4" s="5" t="s">
        <v>2</v>
      </c>
      <c r="B4" s="6" t="s">
        <v>3</v>
      </c>
      <c r="C4" s="7"/>
      <c r="D4" s="7"/>
      <c r="E4" s="7"/>
      <c r="F4" s="8"/>
      <c r="G4" s="9" t="s">
        <v>4</v>
      </c>
      <c r="H4" s="7"/>
      <c r="I4" s="7"/>
      <c r="J4" s="8"/>
      <c r="K4" s="10"/>
      <c r="L4" s="10"/>
      <c r="M4" s="11" t="s">
        <v>5</v>
      </c>
      <c r="N4" s="10"/>
      <c r="O4" s="12"/>
      <c r="P4" s="12"/>
      <c r="Q4" s="12"/>
      <c r="R4" s="12"/>
      <c r="S4" s="12"/>
      <c r="T4" s="13"/>
    </row>
    <row r="5" ht="15.75" customHeight="1">
      <c r="A5" s="14" t="s">
        <v>6</v>
      </c>
      <c r="B5" s="15" t="s">
        <v>7</v>
      </c>
      <c r="C5" s="7"/>
      <c r="D5" s="7"/>
      <c r="E5" s="7"/>
      <c r="F5" s="8"/>
      <c r="G5" s="16" t="s">
        <v>8</v>
      </c>
      <c r="H5" s="17"/>
      <c r="I5" s="17"/>
      <c r="J5" s="18"/>
      <c r="K5" s="10"/>
      <c r="L5" s="10"/>
      <c r="M5" s="19" t="s">
        <v>9</v>
      </c>
      <c r="N5" s="20" t="s">
        <v>10</v>
      </c>
      <c r="O5" s="12"/>
      <c r="P5" s="12"/>
      <c r="Q5" s="12"/>
      <c r="R5" s="12"/>
      <c r="S5" s="12"/>
      <c r="T5" s="13"/>
    </row>
    <row r="6" ht="27.0" customHeight="1">
      <c r="A6" s="21"/>
      <c r="B6" s="22" t="s">
        <v>11</v>
      </c>
      <c r="C6" s="7"/>
      <c r="D6" s="7"/>
      <c r="E6" s="7"/>
      <c r="F6" s="8"/>
      <c r="G6" s="23"/>
      <c r="H6" s="4"/>
      <c r="I6" s="4"/>
      <c r="J6" s="24"/>
      <c r="K6" s="10"/>
      <c r="L6" s="10"/>
      <c r="M6" s="25" t="s">
        <v>12</v>
      </c>
      <c r="N6" s="10"/>
      <c r="O6" s="12"/>
      <c r="P6" s="12"/>
      <c r="Q6" s="12"/>
      <c r="R6" s="12"/>
      <c r="S6" s="12"/>
      <c r="T6" s="13"/>
    </row>
    <row r="7" ht="15.0" customHeight="1">
      <c r="A7" s="10"/>
      <c r="B7" s="26"/>
      <c r="C7" s="26"/>
      <c r="D7" s="10"/>
      <c r="E7" s="10"/>
      <c r="F7" s="26"/>
      <c r="G7" s="26"/>
      <c r="H7" s="10"/>
      <c r="I7" s="10"/>
      <c r="J7" s="26"/>
      <c r="K7" s="26"/>
      <c r="L7" s="10"/>
      <c r="M7" s="10"/>
      <c r="N7" s="26"/>
      <c r="O7" s="27"/>
      <c r="P7" s="12"/>
      <c r="Q7" s="12"/>
      <c r="R7" s="12"/>
      <c r="S7" s="12"/>
      <c r="T7" s="13"/>
    </row>
    <row r="8" ht="15.0" customHeight="1">
      <c r="A8" s="28"/>
      <c r="B8" s="29" t="s">
        <v>13</v>
      </c>
      <c r="C8" s="30" t="s">
        <v>14</v>
      </c>
      <c r="D8" s="31"/>
      <c r="E8" s="28"/>
      <c r="F8" s="29" t="s">
        <v>13</v>
      </c>
      <c r="G8" s="30" t="s">
        <v>15</v>
      </c>
      <c r="H8" s="31"/>
      <c r="I8" s="28"/>
      <c r="J8" s="29" t="s">
        <v>13</v>
      </c>
      <c r="K8" s="30" t="s">
        <v>16</v>
      </c>
      <c r="L8" s="31"/>
      <c r="M8" s="28"/>
      <c r="N8" s="29" t="s">
        <v>13</v>
      </c>
      <c r="O8" s="30" t="s">
        <v>17</v>
      </c>
      <c r="P8" s="21"/>
      <c r="Q8" s="12"/>
      <c r="R8" s="12"/>
      <c r="S8" s="12"/>
      <c r="T8" s="13"/>
    </row>
    <row r="9" ht="17.25" customHeight="1">
      <c r="A9" s="32" t="s">
        <v>18</v>
      </c>
      <c r="B9" s="33">
        <f>AVERAGE(B10:B15)</f>
        <v>0.7777777778</v>
      </c>
      <c r="D9" s="31"/>
      <c r="E9" s="32" t="s">
        <v>18</v>
      </c>
      <c r="F9" s="33">
        <f>AVERAGE(F10:F15)</f>
        <v>0.7555555556</v>
      </c>
      <c r="H9" s="31"/>
      <c r="I9" s="32" t="s">
        <v>18</v>
      </c>
      <c r="J9" s="33">
        <f>AVERAGE(J10:J15)</f>
        <v>0.75</v>
      </c>
      <c r="L9" s="31"/>
      <c r="M9" s="32" t="s">
        <v>18</v>
      </c>
      <c r="N9" s="33">
        <f>AVERAGE(N10:N15)</f>
        <v>0.8888888889</v>
      </c>
      <c r="P9" s="21"/>
      <c r="Q9" s="12"/>
      <c r="R9" s="12"/>
      <c r="S9" s="12"/>
      <c r="T9" s="13"/>
    </row>
    <row r="10" ht="15.0" customHeight="1">
      <c r="A10" s="34" t="s">
        <v>19</v>
      </c>
      <c r="B10" s="35">
        <v>1.0</v>
      </c>
      <c r="D10" s="31"/>
      <c r="E10" s="34" t="s">
        <v>19</v>
      </c>
      <c r="F10" s="36">
        <f>4/5</f>
        <v>0.8</v>
      </c>
      <c r="H10" s="31"/>
      <c r="I10" s="34" t="s">
        <v>19</v>
      </c>
      <c r="J10" s="36">
        <f t="shared" ref="J10:J15" si="1">3/4</f>
        <v>0.75</v>
      </c>
      <c r="L10" s="31"/>
      <c r="M10" s="34" t="s">
        <v>19</v>
      </c>
      <c r="N10" s="35">
        <v>1.0</v>
      </c>
      <c r="P10" s="21"/>
      <c r="Q10" s="12"/>
      <c r="R10" s="12"/>
      <c r="S10" s="12"/>
      <c r="T10" s="13"/>
    </row>
    <row r="11" ht="15.0" customHeight="1">
      <c r="A11" s="37" t="s">
        <v>20</v>
      </c>
      <c r="B11" s="38">
        <v>1.0</v>
      </c>
      <c r="D11" s="31"/>
      <c r="E11" s="37" t="s">
        <v>21</v>
      </c>
      <c r="F11" s="39">
        <f>2/3</f>
        <v>0.6666666667</v>
      </c>
      <c r="H11" s="31"/>
      <c r="I11" s="37" t="s">
        <v>22</v>
      </c>
      <c r="J11" s="39">
        <f t="shared" si="1"/>
        <v>0.75</v>
      </c>
      <c r="L11" s="31"/>
      <c r="M11" s="37" t="s">
        <v>23</v>
      </c>
      <c r="N11" s="38">
        <v>1.0</v>
      </c>
      <c r="P11" s="21"/>
      <c r="Q11" s="12"/>
      <c r="R11" s="12"/>
      <c r="S11" s="12"/>
      <c r="T11" s="13"/>
    </row>
    <row r="12" ht="15.0" customHeight="1">
      <c r="A12" s="40" t="s">
        <v>24</v>
      </c>
      <c r="B12" s="36">
        <f>1/3</f>
        <v>0.3333333333</v>
      </c>
      <c r="D12" s="31"/>
      <c r="E12" s="40" t="s">
        <v>25</v>
      </c>
      <c r="F12" s="36">
        <f>4/5</f>
        <v>0.8</v>
      </c>
      <c r="H12" s="31"/>
      <c r="I12" s="40" t="s">
        <v>26</v>
      </c>
      <c r="J12" s="36">
        <f t="shared" si="1"/>
        <v>0.75</v>
      </c>
      <c r="L12" s="31"/>
      <c r="M12" s="40" t="s">
        <v>27</v>
      </c>
      <c r="N12" s="36">
        <f>1/3</f>
        <v>0.3333333333</v>
      </c>
      <c r="P12" s="21"/>
      <c r="Q12" s="12"/>
      <c r="R12" s="12"/>
      <c r="S12" s="12"/>
      <c r="T12" s="13"/>
    </row>
    <row r="13" ht="15.0" customHeight="1">
      <c r="A13" s="37" t="s">
        <v>28</v>
      </c>
      <c r="B13" s="38">
        <v>1.0</v>
      </c>
      <c r="D13" s="31"/>
      <c r="E13" s="37" t="s">
        <v>29</v>
      </c>
      <c r="F13" s="39">
        <f>2/3</f>
        <v>0.6666666667</v>
      </c>
      <c r="H13" s="31"/>
      <c r="I13" s="37" t="s">
        <v>30</v>
      </c>
      <c r="J13" s="39">
        <f t="shared" si="1"/>
        <v>0.75</v>
      </c>
      <c r="L13" s="31"/>
      <c r="M13" s="37" t="s">
        <v>31</v>
      </c>
      <c r="N13" s="38">
        <v>1.0</v>
      </c>
      <c r="P13" s="21"/>
      <c r="Q13" s="12"/>
      <c r="R13" s="12"/>
      <c r="S13" s="12"/>
      <c r="T13" s="13"/>
    </row>
    <row r="14" ht="15.0" customHeight="1">
      <c r="A14" s="40" t="s">
        <v>32</v>
      </c>
      <c r="B14" s="35">
        <v>1.0</v>
      </c>
      <c r="D14" s="31"/>
      <c r="E14" s="40" t="s">
        <v>33</v>
      </c>
      <c r="F14" s="36">
        <f t="shared" ref="F14:F15" si="2">4/5</f>
        <v>0.8</v>
      </c>
      <c r="H14" s="31"/>
      <c r="I14" s="40" t="s">
        <v>34</v>
      </c>
      <c r="J14" s="36">
        <f t="shared" si="1"/>
        <v>0.75</v>
      </c>
      <c r="L14" s="31"/>
      <c r="M14" s="40" t="s">
        <v>35</v>
      </c>
      <c r="N14" s="35">
        <v>1.0</v>
      </c>
      <c r="P14" s="21"/>
      <c r="Q14" s="12"/>
      <c r="R14" s="12"/>
      <c r="S14" s="12"/>
      <c r="T14" s="13"/>
    </row>
    <row r="15" ht="15.0" customHeight="1">
      <c r="A15" s="37" t="s">
        <v>36</v>
      </c>
      <c r="B15" s="39">
        <f>1/3</f>
        <v>0.3333333333</v>
      </c>
      <c r="D15" s="31"/>
      <c r="E15" s="37" t="s">
        <v>37</v>
      </c>
      <c r="F15" s="39">
        <f t="shared" si="2"/>
        <v>0.8</v>
      </c>
      <c r="H15" s="31"/>
      <c r="I15" s="37" t="s">
        <v>38</v>
      </c>
      <c r="J15" s="39">
        <f t="shared" si="1"/>
        <v>0.75</v>
      </c>
      <c r="L15" s="31"/>
      <c r="M15" s="37" t="s">
        <v>39</v>
      </c>
      <c r="N15" s="38">
        <v>1.0</v>
      </c>
      <c r="P15" s="21"/>
      <c r="Q15" s="12"/>
      <c r="R15" s="12"/>
      <c r="S15" s="12"/>
      <c r="T15" s="13"/>
    </row>
    <row r="16" ht="15.0" customHeight="1">
      <c r="A16" s="10"/>
      <c r="B16" s="26"/>
      <c r="C16" s="41"/>
      <c r="D16" s="10"/>
      <c r="E16" s="10"/>
      <c r="F16" s="26"/>
      <c r="G16" s="41"/>
      <c r="H16" s="10"/>
      <c r="I16" s="10"/>
      <c r="J16" s="26"/>
      <c r="K16" s="41"/>
      <c r="L16" s="10"/>
      <c r="M16" s="10"/>
      <c r="N16" s="26"/>
      <c r="O16" s="42"/>
      <c r="P16" s="12"/>
      <c r="Q16" s="12"/>
      <c r="R16" s="27"/>
      <c r="S16" s="27"/>
      <c r="T16" s="13"/>
    </row>
    <row r="17" ht="15.75" customHeight="1">
      <c r="A17" s="28"/>
      <c r="B17" s="29" t="s">
        <v>13</v>
      </c>
      <c r="C17" s="30" t="s">
        <v>40</v>
      </c>
      <c r="D17" s="31"/>
      <c r="E17" s="28"/>
      <c r="F17" s="29" t="s">
        <v>13</v>
      </c>
      <c r="G17" s="30" t="s">
        <v>41</v>
      </c>
      <c r="H17" s="31"/>
      <c r="I17" s="28"/>
      <c r="J17" s="29" t="s">
        <v>13</v>
      </c>
      <c r="K17" s="30" t="s">
        <v>42</v>
      </c>
      <c r="L17" s="31"/>
      <c r="M17" s="28"/>
      <c r="N17" s="29" t="s">
        <v>13</v>
      </c>
      <c r="O17" s="43" t="s">
        <v>43</v>
      </c>
      <c r="P17" s="21"/>
      <c r="Q17" s="28"/>
      <c r="R17" s="29" t="s">
        <v>13</v>
      </c>
      <c r="S17" s="30" t="s">
        <v>44</v>
      </c>
      <c r="T17" s="44"/>
    </row>
    <row r="18" ht="17.25" customHeight="1">
      <c r="A18" s="32" t="s">
        <v>18</v>
      </c>
      <c r="B18" s="33">
        <f>AVERAGE(B19:B24)</f>
        <v>0.6222222222</v>
      </c>
      <c r="D18" s="31"/>
      <c r="E18" s="32" t="s">
        <v>18</v>
      </c>
      <c r="F18" s="33">
        <f>AVERAGE(F19:F24)</f>
        <v>0.3194444444</v>
      </c>
      <c r="H18" s="31"/>
      <c r="I18" s="32" t="s">
        <v>18</v>
      </c>
      <c r="J18" s="33">
        <f>AVERAGE(J19:J24)</f>
        <v>0.2962962963</v>
      </c>
      <c r="L18" s="31"/>
      <c r="M18" s="32" t="s">
        <v>18</v>
      </c>
      <c r="N18" s="33">
        <f>AVERAGE(N19:N24)</f>
        <v>0.1304347826</v>
      </c>
      <c r="P18" s="21"/>
      <c r="Q18" s="32" t="s">
        <v>18</v>
      </c>
      <c r="R18" s="45">
        <f>AVERAGE(R19:R24)</f>
        <v>0.4443921569</v>
      </c>
      <c r="T18" s="44"/>
    </row>
    <row r="19" ht="15.0" customHeight="1">
      <c r="A19" s="34" t="s">
        <v>19</v>
      </c>
      <c r="B19" s="36">
        <f>2/3</f>
        <v>0.6666666667</v>
      </c>
      <c r="D19" s="31"/>
      <c r="E19" s="34" t="s">
        <v>19</v>
      </c>
      <c r="F19" s="36">
        <f>1/3</f>
        <v>0.3333333333</v>
      </c>
      <c r="H19" s="31"/>
      <c r="I19" s="34" t="s">
        <v>19</v>
      </c>
      <c r="J19" s="36">
        <f t="shared" ref="J19:J21" si="3">1/3</f>
        <v>0.3333333333</v>
      </c>
      <c r="L19" s="31"/>
      <c r="M19" s="34" t="s">
        <v>19</v>
      </c>
      <c r="N19" s="36">
        <f t="shared" ref="N19:N24" si="4">3/23</f>
        <v>0.1304347826</v>
      </c>
      <c r="P19" s="21"/>
      <c r="Q19" s="34" t="s">
        <v>19</v>
      </c>
      <c r="R19" s="46">
        <f t="shared" ref="R19:R20" si="5">8/17</f>
        <v>0.4705882353</v>
      </c>
      <c r="T19" s="44"/>
    </row>
    <row r="20" ht="15.0" customHeight="1">
      <c r="A20" s="37" t="s">
        <v>45</v>
      </c>
      <c r="B20" s="39">
        <f>2/5</f>
        <v>0.4</v>
      </c>
      <c r="D20" s="31"/>
      <c r="E20" s="37" t="s">
        <v>46</v>
      </c>
      <c r="F20" s="39">
        <f>1/4</f>
        <v>0.25</v>
      </c>
      <c r="H20" s="31"/>
      <c r="I20" s="37" t="s">
        <v>47</v>
      </c>
      <c r="J20" s="39">
        <f t="shared" si="3"/>
        <v>0.3333333333</v>
      </c>
      <c r="L20" s="31"/>
      <c r="M20" s="37" t="s">
        <v>48</v>
      </c>
      <c r="N20" s="39">
        <f t="shared" si="4"/>
        <v>0.1304347826</v>
      </c>
      <c r="P20" s="21"/>
      <c r="Q20" s="37" t="s">
        <v>49</v>
      </c>
      <c r="R20" s="47">
        <f t="shared" si="5"/>
        <v>0.4705882353</v>
      </c>
      <c r="T20" s="44"/>
    </row>
    <row r="21" ht="15.0" customHeight="1">
      <c r="A21" s="40" t="s">
        <v>50</v>
      </c>
      <c r="B21" s="36">
        <f t="shared" ref="B21:B24" si="6">2/3</f>
        <v>0.6666666667</v>
      </c>
      <c r="D21" s="31"/>
      <c r="E21" s="40" t="s">
        <v>51</v>
      </c>
      <c r="F21" s="36">
        <f t="shared" ref="F21:F24" si="7">1/3</f>
        <v>0.3333333333</v>
      </c>
      <c r="H21" s="31"/>
      <c r="I21" s="40" t="s">
        <v>52</v>
      </c>
      <c r="J21" s="36">
        <f t="shared" si="3"/>
        <v>0.3333333333</v>
      </c>
      <c r="L21" s="31"/>
      <c r="M21" s="40" t="s">
        <v>53</v>
      </c>
      <c r="N21" s="36">
        <f t="shared" si="4"/>
        <v>0.1304347826</v>
      </c>
      <c r="P21" s="21"/>
      <c r="Q21" s="40" t="s">
        <v>54</v>
      </c>
      <c r="R21" s="46">
        <f>49/125</f>
        <v>0.392</v>
      </c>
      <c r="T21" s="44"/>
    </row>
    <row r="22" ht="15.0" customHeight="1">
      <c r="A22" s="37" t="s">
        <v>55</v>
      </c>
      <c r="B22" s="39">
        <f t="shared" si="6"/>
        <v>0.6666666667</v>
      </c>
      <c r="D22" s="31"/>
      <c r="E22" s="37" t="s">
        <v>56</v>
      </c>
      <c r="F22" s="39">
        <f t="shared" si="7"/>
        <v>0.3333333333</v>
      </c>
      <c r="H22" s="31"/>
      <c r="I22" s="37" t="s">
        <v>57</v>
      </c>
      <c r="J22" s="39">
        <f>1/9</f>
        <v>0.1111111111</v>
      </c>
      <c r="L22" s="31"/>
      <c r="M22" s="37" t="s">
        <v>58</v>
      </c>
      <c r="N22" s="39">
        <f t="shared" si="4"/>
        <v>0.1304347826</v>
      </c>
      <c r="P22" s="21"/>
      <c r="Q22" s="37" t="s">
        <v>59</v>
      </c>
      <c r="R22" s="47">
        <f t="shared" ref="R22:R23" si="8">8/17</f>
        <v>0.4705882353</v>
      </c>
      <c r="T22" s="44"/>
    </row>
    <row r="23" ht="15.0" customHeight="1">
      <c r="A23" s="40" t="s">
        <v>60</v>
      </c>
      <c r="B23" s="36">
        <f t="shared" si="6"/>
        <v>0.6666666667</v>
      </c>
      <c r="D23" s="31"/>
      <c r="E23" s="40" t="s">
        <v>61</v>
      </c>
      <c r="F23" s="36">
        <f t="shared" si="7"/>
        <v>0.3333333333</v>
      </c>
      <c r="H23" s="31"/>
      <c r="I23" s="40" t="s">
        <v>62</v>
      </c>
      <c r="J23" s="36">
        <f t="shared" ref="J23:J24" si="9">1/3</f>
        <v>0.3333333333</v>
      </c>
      <c r="L23" s="31"/>
      <c r="M23" s="40" t="s">
        <v>63</v>
      </c>
      <c r="N23" s="36">
        <f t="shared" si="4"/>
        <v>0.1304347826</v>
      </c>
      <c r="P23" s="21"/>
      <c r="Q23" s="40" t="s">
        <v>64</v>
      </c>
      <c r="R23" s="46">
        <f t="shared" si="8"/>
        <v>0.4705882353</v>
      </c>
      <c r="T23" s="44"/>
    </row>
    <row r="24" ht="15.0" customHeight="1">
      <c r="A24" s="37" t="s">
        <v>65</v>
      </c>
      <c r="B24" s="39">
        <f t="shared" si="6"/>
        <v>0.6666666667</v>
      </c>
      <c r="D24" s="31"/>
      <c r="E24" s="37" t="s">
        <v>66</v>
      </c>
      <c r="F24" s="39">
        <f t="shared" si="7"/>
        <v>0.3333333333</v>
      </c>
      <c r="H24" s="31"/>
      <c r="I24" s="37" t="s">
        <v>67</v>
      </c>
      <c r="J24" s="39">
        <f t="shared" si="9"/>
        <v>0.3333333333</v>
      </c>
      <c r="L24" s="31"/>
      <c r="M24" s="37" t="s">
        <v>68</v>
      </c>
      <c r="N24" s="39">
        <f t="shared" si="4"/>
        <v>0.1304347826</v>
      </c>
      <c r="P24" s="21"/>
      <c r="Q24" s="37" t="s">
        <v>69</v>
      </c>
      <c r="R24" s="47">
        <f>49/125</f>
        <v>0.392</v>
      </c>
      <c r="T24" s="44"/>
    </row>
    <row r="25" ht="15.0" customHeight="1">
      <c r="A25" s="10"/>
      <c r="B25" s="26"/>
      <c r="C25" s="41"/>
      <c r="D25" s="10"/>
      <c r="E25" s="10"/>
      <c r="F25" s="26"/>
      <c r="G25" s="41"/>
      <c r="H25" s="10"/>
      <c r="I25" s="10"/>
      <c r="J25" s="26"/>
      <c r="K25" s="41"/>
      <c r="L25" s="10"/>
      <c r="M25" s="10"/>
      <c r="N25" s="26"/>
      <c r="O25" s="42"/>
      <c r="P25" s="12"/>
      <c r="Q25" s="12"/>
      <c r="R25" s="12"/>
      <c r="S25" s="48"/>
      <c r="T25" s="13"/>
    </row>
    <row r="26" ht="15.75" customHeight="1">
      <c r="A26" s="28"/>
      <c r="B26" s="29" t="s">
        <v>13</v>
      </c>
      <c r="C26" s="30" t="s">
        <v>70</v>
      </c>
      <c r="D26" s="31"/>
      <c r="E26" s="28"/>
      <c r="F26" s="29" t="s">
        <v>13</v>
      </c>
      <c r="G26" s="30" t="s">
        <v>71</v>
      </c>
      <c r="H26" s="31"/>
      <c r="I26" s="28"/>
      <c r="J26" s="29" t="s">
        <v>13</v>
      </c>
      <c r="K26" s="30" t="s">
        <v>72</v>
      </c>
      <c r="L26" s="31"/>
      <c r="M26" s="28"/>
      <c r="N26" s="29" t="s">
        <v>13</v>
      </c>
      <c r="O26" s="43" t="s">
        <v>73</v>
      </c>
      <c r="P26" s="21"/>
      <c r="Q26" s="12"/>
      <c r="R26" s="12"/>
      <c r="S26" s="12"/>
      <c r="T26" s="13"/>
    </row>
    <row r="27" ht="17.25" customHeight="1">
      <c r="A27" s="32" t="s">
        <v>18</v>
      </c>
      <c r="B27" s="33">
        <f>AVERAGE(B28:B33)</f>
        <v>0.2416666667</v>
      </c>
      <c r="D27" s="31"/>
      <c r="E27" s="32" t="s">
        <v>18</v>
      </c>
      <c r="F27" s="33">
        <f>AVERAGE(F28:F33)</f>
        <v>0.2888888889</v>
      </c>
      <c r="H27" s="31"/>
      <c r="I27" s="32" t="s">
        <v>18</v>
      </c>
      <c r="J27" s="33">
        <f>AVERAGE(J28:J33)</f>
        <v>0.001900418092</v>
      </c>
      <c r="L27" s="31"/>
      <c r="M27" s="32" t="s">
        <v>18</v>
      </c>
      <c r="N27" s="33">
        <f>AVERAGE(N28:N33)</f>
        <v>0</v>
      </c>
      <c r="P27" s="21"/>
      <c r="Q27" s="12"/>
      <c r="R27" s="12"/>
      <c r="S27" s="12"/>
      <c r="T27" s="13"/>
    </row>
    <row r="28" ht="15.0" customHeight="1">
      <c r="A28" s="34" t="s">
        <v>19</v>
      </c>
      <c r="B28" s="36">
        <f t="shared" ref="B28:B29" si="10">1/4</f>
        <v>0.25</v>
      </c>
      <c r="D28" s="31"/>
      <c r="E28" s="34" t="s">
        <v>19</v>
      </c>
      <c r="F28" s="36">
        <f t="shared" ref="F28:F30" si="11">1/3</f>
        <v>0.3333333333</v>
      </c>
      <c r="H28" s="31"/>
      <c r="I28" s="34" t="s">
        <v>19</v>
      </c>
      <c r="J28" s="35">
        <v>0.0</v>
      </c>
      <c r="L28" s="31"/>
      <c r="M28" s="34" t="s">
        <v>19</v>
      </c>
      <c r="N28" s="35">
        <v>0.0</v>
      </c>
      <c r="P28" s="21"/>
      <c r="Q28" s="12"/>
      <c r="R28" s="12"/>
      <c r="S28" s="12"/>
      <c r="T28" s="13"/>
    </row>
    <row r="29" ht="15.0" customHeight="1">
      <c r="A29" s="37" t="s">
        <v>74</v>
      </c>
      <c r="B29" s="39">
        <f t="shared" si="10"/>
        <v>0.25</v>
      </c>
      <c r="D29" s="31"/>
      <c r="E29" s="37" t="s">
        <v>75</v>
      </c>
      <c r="F29" s="39">
        <f t="shared" si="11"/>
        <v>0.3333333333</v>
      </c>
      <c r="H29" s="31"/>
      <c r="I29" s="37" t="s">
        <v>76</v>
      </c>
      <c r="J29" s="38">
        <v>0.0</v>
      </c>
      <c r="L29" s="31"/>
      <c r="M29" s="37" t="s">
        <v>77</v>
      </c>
      <c r="N29" s="38">
        <v>0.0</v>
      </c>
      <c r="P29" s="21"/>
      <c r="Q29" s="12"/>
      <c r="R29" s="12"/>
      <c r="S29" s="12"/>
      <c r="T29" s="13"/>
    </row>
    <row r="30" ht="15.0" customHeight="1">
      <c r="A30" s="40" t="s">
        <v>78</v>
      </c>
      <c r="B30" s="36">
        <f>1/5</f>
        <v>0.2</v>
      </c>
      <c r="D30" s="31"/>
      <c r="E30" s="40" t="s">
        <v>79</v>
      </c>
      <c r="F30" s="36">
        <f t="shared" si="11"/>
        <v>0.3333333333</v>
      </c>
      <c r="H30" s="31"/>
      <c r="I30" s="40" t="s">
        <v>80</v>
      </c>
      <c r="J30" s="36">
        <f>5/877</f>
        <v>0.005701254276</v>
      </c>
      <c r="L30" s="31"/>
      <c r="M30" s="40" t="s">
        <v>81</v>
      </c>
      <c r="N30" s="35">
        <v>0.0</v>
      </c>
      <c r="P30" s="21"/>
      <c r="Q30" s="12"/>
      <c r="R30" s="12"/>
      <c r="S30" s="12"/>
      <c r="T30" s="13"/>
    </row>
    <row r="31" ht="15.0" customHeight="1">
      <c r="A31" s="37" t="s">
        <v>82</v>
      </c>
      <c r="B31" s="39">
        <f t="shared" ref="B31:B33" si="12">1/4</f>
        <v>0.25</v>
      </c>
      <c r="D31" s="31"/>
      <c r="E31" s="37" t="s">
        <v>83</v>
      </c>
      <c r="F31" s="39">
        <f t="shared" ref="F31:F32" si="13">1/5</f>
        <v>0.2</v>
      </c>
      <c r="H31" s="31"/>
      <c r="I31" s="37" t="s">
        <v>84</v>
      </c>
      <c r="J31" s="38">
        <v>0.0</v>
      </c>
      <c r="L31" s="31"/>
      <c r="M31" s="37" t="s">
        <v>85</v>
      </c>
      <c r="N31" s="38">
        <v>0.0</v>
      </c>
      <c r="P31" s="21"/>
      <c r="Q31" s="12"/>
      <c r="R31" s="12"/>
      <c r="S31" s="12"/>
      <c r="T31" s="13"/>
    </row>
    <row r="32" ht="15.0" customHeight="1">
      <c r="A32" s="40" t="s">
        <v>86</v>
      </c>
      <c r="B32" s="36">
        <f t="shared" si="12"/>
        <v>0.25</v>
      </c>
      <c r="D32" s="31"/>
      <c r="E32" s="40" t="s">
        <v>87</v>
      </c>
      <c r="F32" s="36">
        <f t="shared" si="13"/>
        <v>0.2</v>
      </c>
      <c r="H32" s="31"/>
      <c r="I32" s="40" t="s">
        <v>88</v>
      </c>
      <c r="J32" s="36">
        <f>5/877</f>
        <v>0.005701254276</v>
      </c>
      <c r="L32" s="31"/>
      <c r="M32" s="40" t="s">
        <v>89</v>
      </c>
      <c r="N32" s="35">
        <v>0.0</v>
      </c>
      <c r="P32" s="21"/>
      <c r="Q32" s="12"/>
      <c r="R32" s="12"/>
      <c r="S32" s="12"/>
      <c r="T32" s="13"/>
    </row>
    <row r="33" ht="15.0" customHeight="1">
      <c r="A33" s="37" t="s">
        <v>90</v>
      </c>
      <c r="B33" s="39">
        <f t="shared" si="12"/>
        <v>0.25</v>
      </c>
      <c r="D33" s="31"/>
      <c r="E33" s="37" t="s">
        <v>91</v>
      </c>
      <c r="F33" s="39">
        <f>1/3</f>
        <v>0.3333333333</v>
      </c>
      <c r="H33" s="31"/>
      <c r="I33" s="37" t="s">
        <v>92</v>
      </c>
      <c r="J33" s="38">
        <v>0.0</v>
      </c>
      <c r="L33" s="31"/>
      <c r="M33" s="37" t="s">
        <v>93</v>
      </c>
      <c r="N33" s="38">
        <v>0.0</v>
      </c>
      <c r="P33" s="21"/>
      <c r="Q33" s="12"/>
      <c r="R33" s="12"/>
      <c r="S33" s="12"/>
      <c r="T33" s="13"/>
    </row>
    <row r="34" ht="15.0" customHeight="1">
      <c r="A34" s="10"/>
      <c r="B34" s="26"/>
      <c r="C34" s="41"/>
      <c r="D34" s="10"/>
      <c r="E34" s="10"/>
      <c r="F34" s="26"/>
      <c r="G34" s="41"/>
      <c r="H34" s="10"/>
      <c r="I34" s="10"/>
      <c r="J34" s="26"/>
      <c r="K34" s="41"/>
      <c r="L34" s="10"/>
      <c r="M34" s="10"/>
      <c r="N34" s="26"/>
      <c r="O34" s="42"/>
      <c r="P34" s="12"/>
      <c r="Q34" s="12"/>
      <c r="R34" s="12"/>
      <c r="S34" s="12"/>
      <c r="T34" s="13"/>
    </row>
    <row r="35" ht="15.75" customHeight="1">
      <c r="A35" s="28"/>
      <c r="B35" s="29" t="s">
        <v>13</v>
      </c>
      <c r="C35" s="43" t="s">
        <v>94</v>
      </c>
      <c r="D35" s="31"/>
      <c r="E35" s="28"/>
      <c r="F35" s="29" t="s">
        <v>13</v>
      </c>
      <c r="G35" s="30" t="s">
        <v>95</v>
      </c>
      <c r="H35" s="31"/>
      <c r="I35" s="28"/>
      <c r="J35" s="29" t="s">
        <v>13</v>
      </c>
      <c r="K35" s="30" t="s">
        <v>96</v>
      </c>
      <c r="L35" s="31"/>
      <c r="M35" s="28"/>
      <c r="N35" s="29" t="s">
        <v>13</v>
      </c>
      <c r="O35" s="30" t="s">
        <v>97</v>
      </c>
      <c r="P35" s="21"/>
      <c r="Q35" s="12"/>
      <c r="R35" s="12"/>
      <c r="S35" s="12"/>
      <c r="T35" s="13"/>
    </row>
    <row r="36" ht="17.25" customHeight="1">
      <c r="A36" s="32" t="s">
        <v>18</v>
      </c>
      <c r="B36" s="33">
        <f>AVERAGE(B37:B42)</f>
        <v>0.3111111111</v>
      </c>
      <c r="D36" s="31"/>
      <c r="E36" s="32" t="s">
        <v>18</v>
      </c>
      <c r="F36" s="33">
        <f>AVERAGE(F37:F42)</f>
        <v>0.3333333333</v>
      </c>
      <c r="H36" s="31"/>
      <c r="I36" s="32" t="s">
        <v>18</v>
      </c>
      <c r="J36" s="33">
        <f>AVERAGE(J37:J42)</f>
        <v>0.4722222222</v>
      </c>
      <c r="L36" s="31"/>
      <c r="M36" s="32" t="s">
        <v>18</v>
      </c>
      <c r="N36" s="33">
        <f>AVERAGE(N37:N42)</f>
        <v>0.06917417417</v>
      </c>
      <c r="P36" s="21"/>
      <c r="Q36" s="12"/>
      <c r="R36" s="12"/>
      <c r="S36" s="12"/>
      <c r="T36" s="13"/>
    </row>
    <row r="37" ht="15.0" customHeight="1">
      <c r="A37" s="34" t="s">
        <v>19</v>
      </c>
      <c r="B37" s="36">
        <f>1/3</f>
        <v>0.3333333333</v>
      </c>
      <c r="D37" s="31"/>
      <c r="E37" s="34" t="s">
        <v>19</v>
      </c>
      <c r="F37" s="36">
        <f t="shared" ref="F37:F42" si="14">1/3</f>
        <v>0.3333333333</v>
      </c>
      <c r="H37" s="31"/>
      <c r="I37" s="34" t="s">
        <v>19</v>
      </c>
      <c r="J37" s="36">
        <f t="shared" ref="J37:J38" si="15">1/2</f>
        <v>0.5</v>
      </c>
      <c r="L37" s="31"/>
      <c r="M37" s="34" t="s">
        <v>19</v>
      </c>
      <c r="N37" s="36">
        <f>1/20</f>
        <v>0.05</v>
      </c>
      <c r="P37" s="21"/>
      <c r="Q37" s="12"/>
      <c r="R37" s="12"/>
      <c r="S37" s="12"/>
      <c r="T37" s="13"/>
    </row>
    <row r="38" ht="15.0" customHeight="1">
      <c r="A38" s="37" t="s">
        <v>98</v>
      </c>
      <c r="B38" s="39">
        <f>1/5</f>
        <v>0.2</v>
      </c>
      <c r="D38" s="31"/>
      <c r="E38" s="37" t="s">
        <v>99</v>
      </c>
      <c r="F38" s="39">
        <f t="shared" si="14"/>
        <v>0.3333333333</v>
      </c>
      <c r="H38" s="31"/>
      <c r="I38" s="37" t="s">
        <v>100</v>
      </c>
      <c r="J38" s="39">
        <f t="shared" si="15"/>
        <v>0.5</v>
      </c>
      <c r="L38" s="31"/>
      <c r="M38" s="37" t="s">
        <v>101</v>
      </c>
      <c r="N38" s="39">
        <f>2/25</f>
        <v>0.08</v>
      </c>
      <c r="P38" s="21"/>
      <c r="Q38" s="12"/>
      <c r="R38" s="12"/>
      <c r="S38" s="12"/>
      <c r="T38" s="13"/>
    </row>
    <row r="39" ht="15.0" customHeight="1">
      <c r="A39" s="40" t="s">
        <v>102</v>
      </c>
      <c r="B39" s="36">
        <f t="shared" ref="B39:B42" si="16">1/3</f>
        <v>0.3333333333</v>
      </c>
      <c r="D39" s="31"/>
      <c r="E39" s="40" t="s">
        <v>103</v>
      </c>
      <c r="F39" s="36">
        <f t="shared" si="14"/>
        <v>0.3333333333</v>
      </c>
      <c r="H39" s="31"/>
      <c r="I39" s="40" t="s">
        <v>104</v>
      </c>
      <c r="J39" s="36">
        <f>1/3</f>
        <v>0.3333333333</v>
      </c>
      <c r="L39" s="31"/>
      <c r="M39" s="40" t="s">
        <v>105</v>
      </c>
      <c r="N39" s="36">
        <f>5/111</f>
        <v>0.04504504505</v>
      </c>
      <c r="P39" s="21"/>
      <c r="Q39" s="12"/>
      <c r="R39" s="12"/>
      <c r="S39" s="12"/>
      <c r="T39" s="13"/>
    </row>
    <row r="40" ht="15.0" customHeight="1">
      <c r="A40" s="37" t="s">
        <v>106</v>
      </c>
      <c r="B40" s="39">
        <f t="shared" si="16"/>
        <v>0.3333333333</v>
      </c>
      <c r="D40" s="31"/>
      <c r="E40" s="37" t="s">
        <v>107</v>
      </c>
      <c r="F40" s="39">
        <f t="shared" si="14"/>
        <v>0.3333333333</v>
      </c>
      <c r="H40" s="31"/>
      <c r="I40" s="37" t="s">
        <v>108</v>
      </c>
      <c r="J40" s="39">
        <f t="shared" ref="J40:J42" si="17">1/2</f>
        <v>0.5</v>
      </c>
      <c r="L40" s="31"/>
      <c r="M40" s="37" t="s">
        <v>109</v>
      </c>
      <c r="N40" s="39">
        <f>7/50</f>
        <v>0.14</v>
      </c>
      <c r="P40" s="21"/>
      <c r="Q40" s="12"/>
      <c r="R40" s="12"/>
      <c r="S40" s="12"/>
      <c r="T40" s="13"/>
    </row>
    <row r="41" ht="15.0" customHeight="1">
      <c r="A41" s="40" t="s">
        <v>110</v>
      </c>
      <c r="B41" s="36">
        <f t="shared" si="16"/>
        <v>0.3333333333</v>
      </c>
      <c r="D41" s="31"/>
      <c r="E41" s="40" t="s">
        <v>111</v>
      </c>
      <c r="F41" s="36">
        <f t="shared" si="14"/>
        <v>0.3333333333</v>
      </c>
      <c r="H41" s="31"/>
      <c r="I41" s="40" t="s">
        <v>112</v>
      </c>
      <c r="J41" s="36">
        <f t="shared" si="17"/>
        <v>0.5</v>
      </c>
      <c r="L41" s="31"/>
      <c r="M41" s="40" t="s">
        <v>113</v>
      </c>
      <c r="N41" s="36">
        <f t="shared" ref="N41:N42" si="18">1/20</f>
        <v>0.05</v>
      </c>
      <c r="P41" s="21"/>
      <c r="Q41" s="12"/>
      <c r="R41" s="12"/>
      <c r="S41" s="12"/>
      <c r="T41" s="13"/>
    </row>
    <row r="42" ht="15.0" customHeight="1">
      <c r="A42" s="37" t="s">
        <v>114</v>
      </c>
      <c r="B42" s="39">
        <f t="shared" si="16"/>
        <v>0.3333333333</v>
      </c>
      <c r="D42" s="31"/>
      <c r="E42" s="37" t="s">
        <v>115</v>
      </c>
      <c r="F42" s="39">
        <f t="shared" si="14"/>
        <v>0.3333333333</v>
      </c>
      <c r="H42" s="31"/>
      <c r="I42" s="37" t="s">
        <v>116</v>
      </c>
      <c r="J42" s="39">
        <f t="shared" si="17"/>
        <v>0.5</v>
      </c>
      <c r="L42" s="31"/>
      <c r="M42" s="37" t="s">
        <v>117</v>
      </c>
      <c r="N42" s="39">
        <f t="shared" si="18"/>
        <v>0.05</v>
      </c>
      <c r="P42" s="21"/>
      <c r="Q42" s="12"/>
      <c r="R42" s="12"/>
      <c r="S42" s="12"/>
      <c r="T42" s="13"/>
    </row>
    <row r="43" ht="15.0" customHeight="1">
      <c r="A43" s="10"/>
      <c r="B43" s="26"/>
      <c r="C43" s="41"/>
      <c r="D43" s="10"/>
      <c r="E43" s="10"/>
      <c r="F43" s="26"/>
      <c r="G43" s="41"/>
      <c r="H43" s="10"/>
      <c r="I43" s="10"/>
      <c r="J43" s="26"/>
      <c r="K43" s="41"/>
      <c r="L43" s="10"/>
      <c r="M43" s="10"/>
      <c r="N43" s="10"/>
      <c r="O43" s="48"/>
      <c r="P43" s="12"/>
      <c r="Q43" s="12"/>
      <c r="R43" s="12"/>
      <c r="S43" s="12"/>
      <c r="T43" s="13"/>
    </row>
    <row r="44" ht="15.75" customHeight="1">
      <c r="A44" s="28"/>
      <c r="B44" s="29" t="s">
        <v>13</v>
      </c>
      <c r="C44" s="30" t="s">
        <v>118</v>
      </c>
      <c r="D44" s="31"/>
      <c r="E44" s="28"/>
      <c r="F44" s="29" t="s">
        <v>13</v>
      </c>
      <c r="G44" s="30" t="s">
        <v>119</v>
      </c>
      <c r="H44" s="31"/>
      <c r="I44" s="28"/>
      <c r="J44" s="29" t="s">
        <v>13</v>
      </c>
      <c r="K44" s="43" t="s">
        <v>120</v>
      </c>
      <c r="L44" s="31"/>
      <c r="M44" s="12"/>
      <c r="N44" s="12"/>
      <c r="O44" s="12"/>
      <c r="P44" s="12"/>
      <c r="Q44" s="12"/>
      <c r="R44" s="12"/>
      <c r="S44" s="12"/>
      <c r="T44" s="13"/>
    </row>
    <row r="45" ht="17.25" customHeight="1">
      <c r="A45" s="32" t="s">
        <v>18</v>
      </c>
      <c r="B45" s="33">
        <f>AVERAGE(B46:B51)</f>
        <v>0</v>
      </c>
      <c r="D45" s="31"/>
      <c r="E45" s="32" t="s">
        <v>18</v>
      </c>
      <c r="F45" s="33">
        <f>AVERAGE(F46:F51)</f>
        <v>0</v>
      </c>
      <c r="H45" s="31"/>
      <c r="I45" s="32" t="s">
        <v>18</v>
      </c>
      <c r="J45" s="33">
        <f>AVERAGE(J46:J51)</f>
        <v>0</v>
      </c>
      <c r="L45" s="31"/>
      <c r="M45" s="12"/>
      <c r="N45" s="12"/>
      <c r="O45" s="12"/>
      <c r="P45" s="12"/>
      <c r="Q45" s="12"/>
      <c r="R45" s="12"/>
      <c r="S45" s="12"/>
      <c r="T45" s="13"/>
    </row>
    <row r="46" ht="15.0" customHeight="1">
      <c r="A46" s="34" t="s">
        <v>19</v>
      </c>
      <c r="B46" s="35">
        <v>0.0</v>
      </c>
      <c r="D46" s="31"/>
      <c r="E46" s="34" t="s">
        <v>19</v>
      </c>
      <c r="F46" s="35">
        <v>0.0</v>
      </c>
      <c r="H46" s="31"/>
      <c r="I46" s="34" t="s">
        <v>19</v>
      </c>
      <c r="J46" s="35">
        <v>0.0</v>
      </c>
      <c r="L46" s="31"/>
      <c r="M46" s="12"/>
      <c r="N46" s="12"/>
      <c r="O46" s="12"/>
      <c r="P46" s="12"/>
      <c r="Q46" s="12"/>
      <c r="R46" s="12"/>
      <c r="S46" s="12"/>
      <c r="T46" s="13"/>
    </row>
    <row r="47" ht="15.0" customHeight="1">
      <c r="A47" s="37" t="s">
        <v>121</v>
      </c>
      <c r="B47" s="38">
        <v>0.0</v>
      </c>
      <c r="D47" s="31"/>
      <c r="E47" s="37" t="s">
        <v>122</v>
      </c>
      <c r="F47" s="38">
        <v>0.0</v>
      </c>
      <c r="H47" s="31"/>
      <c r="I47" s="37" t="s">
        <v>123</v>
      </c>
      <c r="J47" s="38">
        <v>0.0</v>
      </c>
      <c r="L47" s="31"/>
      <c r="M47" s="12"/>
      <c r="N47" s="12"/>
      <c r="O47" s="12"/>
      <c r="P47" s="12"/>
      <c r="Q47" s="12"/>
      <c r="R47" s="12"/>
      <c r="S47" s="12"/>
      <c r="T47" s="13"/>
    </row>
    <row r="48" ht="15.0" customHeight="1">
      <c r="A48" s="40" t="s">
        <v>124</v>
      </c>
      <c r="B48" s="35">
        <v>0.0</v>
      </c>
      <c r="D48" s="31"/>
      <c r="E48" s="40" t="s">
        <v>125</v>
      </c>
      <c r="F48" s="35">
        <v>0.0</v>
      </c>
      <c r="H48" s="31"/>
      <c r="I48" s="40" t="s">
        <v>126</v>
      </c>
      <c r="J48" s="35">
        <v>0.0</v>
      </c>
      <c r="L48" s="31"/>
      <c r="M48" s="12"/>
      <c r="N48" s="12"/>
      <c r="O48" s="12"/>
      <c r="P48" s="12"/>
      <c r="Q48" s="12"/>
      <c r="R48" s="12"/>
      <c r="S48" s="12"/>
      <c r="T48" s="13"/>
    </row>
    <row r="49" ht="15.0" customHeight="1">
      <c r="A49" s="37" t="s">
        <v>127</v>
      </c>
      <c r="B49" s="38">
        <v>0.0</v>
      </c>
      <c r="D49" s="31"/>
      <c r="E49" s="37" t="s">
        <v>128</v>
      </c>
      <c r="F49" s="38">
        <v>0.0</v>
      </c>
      <c r="H49" s="31"/>
      <c r="I49" s="37" t="s">
        <v>129</v>
      </c>
      <c r="J49" s="38">
        <v>0.0</v>
      </c>
      <c r="L49" s="31"/>
      <c r="M49" s="12"/>
      <c r="N49" s="12"/>
      <c r="O49" s="12"/>
      <c r="P49" s="12"/>
      <c r="Q49" s="12"/>
      <c r="R49" s="12"/>
      <c r="S49" s="12"/>
      <c r="T49" s="13"/>
    </row>
    <row r="50" ht="15.0" customHeight="1">
      <c r="A50" s="40" t="s">
        <v>130</v>
      </c>
      <c r="B50" s="35">
        <v>0.0</v>
      </c>
      <c r="D50" s="31"/>
      <c r="E50" s="40" t="s">
        <v>131</v>
      </c>
      <c r="F50" s="35">
        <v>0.0</v>
      </c>
      <c r="H50" s="31"/>
      <c r="I50" s="40" t="s">
        <v>132</v>
      </c>
      <c r="J50" s="35">
        <v>0.0</v>
      </c>
      <c r="L50" s="31"/>
      <c r="M50" s="12"/>
      <c r="N50" s="12"/>
      <c r="O50" s="12"/>
      <c r="P50" s="12"/>
      <c r="Q50" s="12"/>
      <c r="R50" s="12"/>
      <c r="S50" s="12"/>
      <c r="T50" s="13"/>
    </row>
    <row r="51" ht="15.0" customHeight="1">
      <c r="A51" s="49" t="s">
        <v>133</v>
      </c>
      <c r="B51" s="50">
        <v>0.0</v>
      </c>
      <c r="D51" s="31"/>
      <c r="E51" s="37" t="s">
        <v>134</v>
      </c>
      <c r="F51" s="38">
        <v>0.0</v>
      </c>
      <c r="H51" s="31"/>
      <c r="I51" s="37" t="s">
        <v>135</v>
      </c>
      <c r="J51" s="38">
        <v>0.0</v>
      </c>
      <c r="L51" s="31"/>
      <c r="M51" s="12"/>
      <c r="N51" s="12"/>
      <c r="O51" s="12"/>
      <c r="P51" s="12"/>
      <c r="Q51" s="12"/>
      <c r="R51" s="12"/>
      <c r="S51" s="12"/>
      <c r="T51" s="13"/>
    </row>
    <row r="52" ht="15.0" customHeight="1">
      <c r="A52" s="51"/>
      <c r="B52" s="41"/>
      <c r="C52" s="41"/>
      <c r="D52" s="10"/>
      <c r="E52" s="10"/>
      <c r="F52" s="26"/>
      <c r="G52" s="41"/>
      <c r="H52" s="10"/>
      <c r="I52" s="10"/>
      <c r="J52" s="26"/>
      <c r="K52" s="41"/>
      <c r="L52" s="10"/>
      <c r="M52" s="10"/>
      <c r="N52" s="10"/>
      <c r="O52" s="12"/>
      <c r="P52" s="12"/>
      <c r="Q52" s="12"/>
      <c r="R52" s="12"/>
      <c r="S52" s="12"/>
      <c r="T52" s="13"/>
    </row>
    <row r="53" ht="15.75" customHeight="1">
      <c r="A53" s="28"/>
      <c r="B53" s="29" t="s">
        <v>13</v>
      </c>
      <c r="C53" s="30" t="s">
        <v>136</v>
      </c>
      <c r="D53" s="31"/>
      <c r="E53" s="28"/>
      <c r="F53" s="29" t="s">
        <v>13</v>
      </c>
      <c r="G53" s="30" t="s">
        <v>137</v>
      </c>
      <c r="H53" s="31"/>
      <c r="I53" s="28"/>
      <c r="J53" s="29" t="s">
        <v>13</v>
      </c>
      <c r="K53" s="30" t="s">
        <v>138</v>
      </c>
      <c r="L53" s="31"/>
      <c r="M53" s="10"/>
      <c r="N53" s="10"/>
      <c r="O53" s="12"/>
      <c r="P53" s="12"/>
      <c r="Q53" s="12"/>
      <c r="R53" s="12"/>
      <c r="S53" s="12"/>
      <c r="T53" s="13"/>
    </row>
    <row r="54" ht="17.25" customHeight="1">
      <c r="A54" s="32" t="s">
        <v>18</v>
      </c>
      <c r="B54" s="33">
        <f>AVERAGE(B55:B60)</f>
        <v>0.09666666667</v>
      </c>
      <c r="D54" s="31"/>
      <c r="E54" s="32" t="s">
        <v>18</v>
      </c>
      <c r="F54" s="33">
        <f>AVERAGE(F55:F60)</f>
        <v>0</v>
      </c>
      <c r="H54" s="31"/>
      <c r="I54" s="32" t="s">
        <v>18</v>
      </c>
      <c r="J54" s="33">
        <f>AVERAGE(J55:J60)</f>
        <v>0.04166666667</v>
      </c>
      <c r="L54" s="31"/>
      <c r="M54" s="10"/>
      <c r="N54" s="10"/>
      <c r="O54" s="12"/>
      <c r="P54" s="12"/>
      <c r="Q54" s="12"/>
      <c r="R54" s="12"/>
      <c r="S54" s="12"/>
      <c r="T54" s="13"/>
    </row>
    <row r="55" ht="15.0" customHeight="1">
      <c r="A55" s="34" t="s">
        <v>19</v>
      </c>
      <c r="B55" s="36">
        <f t="shared" ref="B55:B57" si="19">1/10</f>
        <v>0.1</v>
      </c>
      <c r="D55" s="31"/>
      <c r="E55" s="34" t="s">
        <v>19</v>
      </c>
      <c r="F55" s="35">
        <v>0.0</v>
      </c>
      <c r="H55" s="31"/>
      <c r="I55" s="34" t="s">
        <v>19</v>
      </c>
      <c r="J55" s="35">
        <v>0.0</v>
      </c>
      <c r="L55" s="31"/>
      <c r="M55" s="10"/>
      <c r="N55" s="10"/>
      <c r="O55" s="12"/>
      <c r="P55" s="12"/>
      <c r="Q55" s="12"/>
      <c r="R55" s="12"/>
      <c r="S55" s="12"/>
      <c r="T55" s="13"/>
    </row>
    <row r="56" ht="15.0" customHeight="1">
      <c r="A56" s="37" t="s">
        <v>139</v>
      </c>
      <c r="B56" s="39">
        <f t="shared" si="19"/>
        <v>0.1</v>
      </c>
      <c r="D56" s="31"/>
      <c r="E56" s="37" t="s">
        <v>140</v>
      </c>
      <c r="F56" s="38">
        <v>0.0</v>
      </c>
      <c r="H56" s="31"/>
      <c r="I56" s="37" t="s">
        <v>141</v>
      </c>
      <c r="J56" s="39">
        <f>1/4</f>
        <v>0.25</v>
      </c>
      <c r="L56" s="31"/>
      <c r="M56" s="10"/>
      <c r="N56" s="10"/>
      <c r="O56" s="12"/>
      <c r="P56" s="12"/>
      <c r="Q56" s="12"/>
      <c r="R56" s="12"/>
      <c r="S56" s="12"/>
      <c r="T56" s="13"/>
    </row>
    <row r="57" ht="15.0" customHeight="1">
      <c r="A57" s="40" t="s">
        <v>142</v>
      </c>
      <c r="B57" s="36">
        <f t="shared" si="19"/>
        <v>0.1</v>
      </c>
      <c r="D57" s="31"/>
      <c r="E57" s="40" t="s">
        <v>143</v>
      </c>
      <c r="F57" s="35">
        <v>0.0</v>
      </c>
      <c r="H57" s="31"/>
      <c r="I57" s="40" t="s">
        <v>144</v>
      </c>
      <c r="J57" s="35">
        <v>0.0</v>
      </c>
      <c r="L57" s="31"/>
      <c r="M57" s="10"/>
      <c r="N57" s="10"/>
      <c r="O57" s="12"/>
      <c r="P57" s="12"/>
      <c r="Q57" s="12"/>
      <c r="R57" s="12"/>
      <c r="S57" s="12"/>
      <c r="T57" s="13"/>
    </row>
    <row r="58" ht="15.0" customHeight="1">
      <c r="A58" s="37" t="s">
        <v>145</v>
      </c>
      <c r="B58" s="39">
        <f>2/25</f>
        <v>0.08</v>
      </c>
      <c r="D58" s="31"/>
      <c r="E58" s="37" t="s">
        <v>146</v>
      </c>
      <c r="F58" s="38">
        <v>0.0</v>
      </c>
      <c r="H58" s="31"/>
      <c r="I58" s="37" t="s">
        <v>147</v>
      </c>
      <c r="J58" s="38">
        <v>0.0</v>
      </c>
      <c r="L58" s="31"/>
      <c r="M58" s="10"/>
      <c r="N58" s="10"/>
      <c r="O58" s="12"/>
      <c r="P58" s="12"/>
      <c r="Q58" s="12"/>
      <c r="R58" s="12"/>
      <c r="S58" s="12"/>
      <c r="T58" s="13"/>
    </row>
    <row r="59" ht="15.0" customHeight="1">
      <c r="A59" s="40" t="s">
        <v>148</v>
      </c>
      <c r="B59" s="36">
        <f t="shared" ref="B59:B60" si="20">1/10</f>
        <v>0.1</v>
      </c>
      <c r="D59" s="31"/>
      <c r="E59" s="40" t="s">
        <v>149</v>
      </c>
      <c r="F59" s="35">
        <v>0.0</v>
      </c>
      <c r="H59" s="31"/>
      <c r="I59" s="40" t="s">
        <v>150</v>
      </c>
      <c r="J59" s="35">
        <v>0.0</v>
      </c>
      <c r="L59" s="31"/>
      <c r="M59" s="10"/>
      <c r="N59" s="10"/>
      <c r="O59" s="12"/>
      <c r="P59" s="12"/>
      <c r="Q59" s="12"/>
      <c r="R59" s="12"/>
      <c r="S59" s="12"/>
      <c r="T59" s="13"/>
    </row>
    <row r="60" ht="15.0" customHeight="1">
      <c r="A60" s="37" t="s">
        <v>151</v>
      </c>
      <c r="B60" s="39">
        <f t="shared" si="20"/>
        <v>0.1</v>
      </c>
      <c r="D60" s="31"/>
      <c r="E60" s="37" t="s">
        <v>152</v>
      </c>
      <c r="F60" s="38">
        <v>0.0</v>
      </c>
      <c r="H60" s="31"/>
      <c r="I60" s="37" t="s">
        <v>153</v>
      </c>
      <c r="J60" s="38">
        <v>0.0</v>
      </c>
      <c r="L60" s="31"/>
      <c r="M60" s="10"/>
      <c r="N60" s="10"/>
      <c r="O60" s="12"/>
      <c r="P60" s="12"/>
      <c r="Q60" s="12"/>
      <c r="R60" s="12"/>
      <c r="S60" s="12"/>
      <c r="T60" s="13"/>
    </row>
    <row r="61" ht="15.0" customHeight="1">
      <c r="A61" s="12"/>
      <c r="B61" s="12"/>
      <c r="C61" s="48"/>
      <c r="D61" s="12"/>
      <c r="E61" s="12"/>
      <c r="F61" s="12"/>
      <c r="G61" s="48"/>
      <c r="H61" s="12"/>
      <c r="I61" s="12"/>
      <c r="J61" s="12"/>
      <c r="K61" s="48"/>
      <c r="L61" s="12"/>
      <c r="M61" s="12"/>
      <c r="N61" s="12"/>
      <c r="O61" s="12"/>
      <c r="P61" s="12"/>
      <c r="Q61" s="12"/>
      <c r="R61" s="12"/>
      <c r="S61" s="12"/>
      <c r="T61" s="13"/>
    </row>
    <row r="62" ht="15.0" customHeight="1">
      <c r="A62" s="27"/>
      <c r="B62" s="27"/>
      <c r="C62" s="27"/>
      <c r="D62" s="27"/>
      <c r="E62" s="27"/>
      <c r="F62" s="27"/>
      <c r="G62" s="27"/>
      <c r="H62" s="27"/>
      <c r="I62" s="27"/>
      <c r="J62" s="27"/>
      <c r="K62" s="27"/>
      <c r="L62" s="27"/>
      <c r="M62" s="27"/>
      <c r="N62" s="27"/>
      <c r="O62" s="27"/>
      <c r="P62" s="27"/>
      <c r="Q62" s="27"/>
      <c r="R62" s="27"/>
      <c r="S62" s="27"/>
      <c r="T62" s="52"/>
    </row>
    <row r="63" ht="15.0" customHeight="1">
      <c r="A63" s="53" t="s">
        <v>154</v>
      </c>
      <c r="Q63" s="54"/>
      <c r="R63" s="54"/>
      <c r="S63" s="54"/>
      <c r="T63" s="54"/>
    </row>
    <row r="64" ht="15.0" customHeight="1">
      <c r="A64" s="53" t="s">
        <v>155</v>
      </c>
      <c r="Q64" s="54"/>
      <c r="R64" s="54"/>
      <c r="S64" s="54"/>
      <c r="T64" s="54"/>
    </row>
    <row r="65" ht="15.0" customHeight="1">
      <c r="A65" s="54"/>
      <c r="Q65" s="54"/>
      <c r="R65" s="54"/>
      <c r="S65" s="54"/>
      <c r="T65" s="54"/>
    </row>
    <row r="66" ht="15.0" customHeight="1">
      <c r="A66" s="53" t="s">
        <v>156</v>
      </c>
      <c r="B66" s="54"/>
      <c r="N66" s="54"/>
      <c r="O66" s="54"/>
      <c r="P66" s="54"/>
      <c r="Q66" s="54"/>
      <c r="R66" s="54"/>
      <c r="S66" s="54"/>
      <c r="T66" s="54"/>
    </row>
    <row r="67" ht="15.0" customHeight="1">
      <c r="A67" s="55" t="s">
        <v>157</v>
      </c>
      <c r="B67" s="56" t="str">
        <f>HYPERLINK("http://www.diablofans.com/news/1224-diablo-iii-patch-102-today/","http://www.diablofans.com/news/1224-diablo-iii-patch-102-today/")</f>
        <v>http://www.diablofans.com/news/1224-diablo-iii-patch-102-today/</v>
      </c>
      <c r="N67" s="54"/>
      <c r="O67" s="54"/>
      <c r="P67" s="54"/>
      <c r="Q67" s="54"/>
      <c r="R67" s="54"/>
      <c r="S67" s="54"/>
      <c r="T67" s="54"/>
    </row>
    <row r="68" ht="15.0" customHeight="1">
      <c r="A68" s="55" t="s">
        <v>158</v>
      </c>
      <c r="B68" s="56" t="str">
        <f>HYPERLINK("http://www.diablofans.com/news/1253-patch-103-official-patch-notes/","http://www.diablofans.com/news/1253-patch-103-official-patch-notes/")</f>
        <v>http://www.diablofans.com/news/1253-patch-103-official-patch-notes/</v>
      </c>
      <c r="N68" s="54"/>
      <c r="O68" s="54"/>
      <c r="P68" s="54"/>
      <c r="Q68" s="54"/>
      <c r="R68" s="54"/>
      <c r="S68" s="54"/>
      <c r="T68" s="54"/>
    </row>
    <row r="69" ht="15.0" customHeight="1">
      <c r="A69" s="55" t="s">
        <v>159</v>
      </c>
      <c r="B69" s="56" t="str">
        <f>HYPERLINK("http://www.diablofans.com/news/1321-official-104-patch-notes-and-patch-104-confirmed-for-tomorrow/","http://www.diablofans.com/news/1321-official-104-patch-notes-and-patch-104-confirmed-for-tomorrow/")</f>
        <v>http://www.diablofans.com/news/1321-official-104-patch-notes-and-patch-104-confirmed-for-tomorrow/</v>
      </c>
      <c r="K69" s="57" t="s">
        <v>160</v>
      </c>
      <c r="L69" s="56" t="str">
        <f>HYPERLINK("http://www.diablofans.com/blizz-tracker/topic/233347-104-patch-notes-updates/","http://www.diablofans.com/blizz-tracker/topic/233347-104-patch-notes-updates/")</f>
        <v>http://www.diablofans.com/blizz-tracker/topic/233347-104-patch-notes-updates/</v>
      </c>
      <c r="R69" s="54"/>
      <c r="S69" s="54"/>
      <c r="T69" s="54"/>
    </row>
    <row r="70" ht="15.0" customHeight="1">
      <c r="A70" s="55" t="s">
        <v>161</v>
      </c>
      <c r="B70" s="56" t="str">
        <f>HYPERLINK("http://www.diablofans.com/blizz-tracker/topic/240516-patch-105-now-live/","http://www.diablofans.com/blizz-tracker/topic/240516-patch-105-now-live/")</f>
        <v>http://www.diablofans.com/blizz-tracker/topic/240516-patch-105-now-live/</v>
      </c>
      <c r="N70" s="54"/>
      <c r="O70" s="54"/>
      <c r="P70" s="54"/>
      <c r="Q70" s="54"/>
      <c r="R70" s="54"/>
      <c r="S70" s="54"/>
      <c r="T70" s="54"/>
    </row>
    <row r="71" ht="15.0" customHeight="1">
      <c r="A71" s="55" t="s">
        <v>162</v>
      </c>
      <c r="B71" s="58" t="s">
        <v>163</v>
      </c>
      <c r="N71" s="54"/>
      <c r="O71" s="54"/>
      <c r="P71" s="54"/>
      <c r="Q71" s="54"/>
      <c r="R71" s="54"/>
      <c r="S71" s="54"/>
      <c r="T71" s="54"/>
    </row>
    <row r="72" ht="15.0" customHeight="1">
      <c r="A72" s="55" t="s">
        <v>164</v>
      </c>
      <c r="B72" s="58" t="s">
        <v>165</v>
      </c>
      <c r="N72" s="54"/>
      <c r="O72" s="54"/>
      <c r="P72" s="54"/>
      <c r="Q72" s="54"/>
      <c r="R72" s="54"/>
      <c r="S72" s="54"/>
      <c r="T72" s="54"/>
    </row>
    <row r="73" ht="15.0" customHeight="1">
      <c r="A73" s="55" t="s">
        <v>166</v>
      </c>
      <c r="B73" s="56" t="str">
        <f>HYPERLINK("http://www.diablofans.com/news/1749-108-official-patch-notes/","http://www.diablofans.com/news/1749-108-official-patch-notes/")</f>
        <v>http://www.diablofans.com/news/1749-108-official-patch-notes/</v>
      </c>
      <c r="N73" s="54"/>
      <c r="O73" s="54"/>
      <c r="P73" s="54"/>
      <c r="Q73" s="54"/>
      <c r="R73" s="54"/>
      <c r="S73" s="54"/>
      <c r="T73" s="54"/>
    </row>
    <row r="74" ht="15.0" customHeight="1">
      <c r="A74" s="55" t="s">
        <v>167</v>
      </c>
      <c r="B74" s="58" t="s">
        <v>168</v>
      </c>
      <c r="N74" s="54"/>
      <c r="O74" s="54"/>
      <c r="P74" s="54"/>
      <c r="Q74" s="54"/>
      <c r="R74" s="54"/>
      <c r="S74" s="54"/>
      <c r="T74" s="54"/>
    </row>
    <row r="75" ht="15.0" customHeight="1">
      <c r="A75" s="55" t="s">
        <v>169</v>
      </c>
      <c r="B75" s="56" t="str">
        <f>HYPERLINK("http://us.battle.net/d3/en/blog/13120781/patch-202-now-live-3-4-2014","http://us.battle.net/d3/en/blog/13120781/patch-202-now-live-3-4-2014")</f>
        <v>http://us.battle.net/d3/en/blog/13120781/patch-202-now-live-3-4-2014</v>
      </c>
      <c r="N75" s="54"/>
      <c r="O75" s="54"/>
      <c r="P75" s="54"/>
      <c r="Q75" s="54"/>
      <c r="R75" s="54"/>
      <c r="S75" s="54"/>
      <c r="T75" s="54"/>
    </row>
    <row r="76" ht="15.0" customHeight="1">
      <c r="A76" s="55" t="s">
        <v>170</v>
      </c>
      <c r="B76" s="56" t="str">
        <f>HYPERLINK("http://us.battle.net/d3/en/blog/13183882/patch-203-now-live-3-11-2014","http://us.battle.net/d3/en/blog/13183882/patch-203-now-live-3-11-2014")</f>
        <v>http://us.battle.net/d3/en/blog/13183882/patch-203-now-live-3-11-2014</v>
      </c>
      <c r="N76" s="54"/>
      <c r="O76" s="54"/>
      <c r="P76" s="54"/>
      <c r="Q76" s="54"/>
      <c r="R76" s="54"/>
      <c r="S76" s="54"/>
      <c r="T76" s="54"/>
    </row>
    <row r="77" ht="15.0" customHeight="1">
      <c r="A77" s="55" t="s">
        <v>171</v>
      </c>
      <c r="B77" s="56" t="str">
        <f>HYPERLINK("http://us.battle.net/d3/en/blog/13532431/patch-204-now-live-4-8-2014","http://us.battle.net/d3/en/blog/13532431/patch-204-now-live-4-8-2014")</f>
        <v>http://us.battle.net/d3/en/blog/13532431/patch-204-now-live-4-8-2014</v>
      </c>
      <c r="N77" s="54"/>
      <c r="O77" s="54"/>
      <c r="P77" s="54"/>
      <c r="Q77" s="54"/>
      <c r="R77" s="54"/>
      <c r="S77" s="54"/>
      <c r="T77" s="54"/>
    </row>
    <row r="78" ht="15.0" customHeight="1">
      <c r="A78" s="55" t="s">
        <v>172</v>
      </c>
      <c r="B78" s="56" t="str">
        <f>HYPERLINK("http://us.battle.net/d3/en/blog/14138344/patch-205-now-live-5-13-2014","http://us.battle.net/d3/en/blog/14138344/patch-205-now-live-5-13-2014")</f>
        <v>http://us.battle.net/d3/en/blog/14138344/patch-205-now-live-5-13-2014</v>
      </c>
      <c r="N78" s="54"/>
      <c r="O78" s="54"/>
      <c r="P78" s="54"/>
      <c r="Q78" s="54"/>
      <c r="R78" s="54"/>
      <c r="S78" s="54"/>
      <c r="T78" s="54"/>
    </row>
    <row r="79" ht="15.0" customHeight="1">
      <c r="A79" s="53" t="s">
        <v>173</v>
      </c>
      <c r="B79" s="58" t="s">
        <v>174</v>
      </c>
      <c r="N79" s="54"/>
      <c r="O79" s="54"/>
      <c r="P79" s="54"/>
      <c r="Q79" s="54"/>
      <c r="R79" s="54"/>
      <c r="S79" s="54"/>
      <c r="T79" s="54"/>
    </row>
    <row r="80" ht="15.0" customHeight="1">
      <c r="A80" s="55">
        <v>2.1</v>
      </c>
      <c r="B80" s="58" t="s">
        <v>175</v>
      </c>
      <c r="N80" s="54"/>
      <c r="O80" s="54"/>
      <c r="P80" s="54"/>
      <c r="Q80" s="54"/>
      <c r="R80" s="54"/>
      <c r="S80" s="54"/>
      <c r="T80" s="54"/>
    </row>
    <row r="81" ht="15.0" customHeight="1">
      <c r="A81" s="54"/>
      <c r="N81" s="54"/>
      <c r="O81" s="54"/>
      <c r="P81" s="54"/>
      <c r="Q81" s="54"/>
      <c r="R81" s="54"/>
      <c r="S81" s="54"/>
      <c r="T81" s="54"/>
    </row>
    <row r="82" ht="15.0" customHeight="1">
      <c r="A82" s="53" t="s">
        <v>176</v>
      </c>
      <c r="N82" s="54"/>
      <c r="O82" s="54"/>
      <c r="P82" s="54"/>
      <c r="Q82" s="54"/>
      <c r="R82" s="54"/>
      <c r="S82" s="54"/>
      <c r="T82" s="54"/>
    </row>
    <row r="83" ht="15.0" customHeight="1">
      <c r="A83" s="53" t="s">
        <v>177</v>
      </c>
      <c r="C83" s="56" t="str">
        <f>HYPERLINK("http://us.battle.net/d3/en/forum/topic/11914351645","http://us.battle.net/d3/en/forum/topic/11914351645")</f>
        <v>http://us.battle.net/d3/en/forum/topic/11914351645</v>
      </c>
      <c r="N83" s="54"/>
      <c r="O83" s="54"/>
      <c r="P83" s="54"/>
      <c r="Q83" s="54"/>
      <c r="R83" s="54"/>
      <c r="S83" s="54"/>
      <c r="T83" s="54"/>
    </row>
    <row r="84" ht="15.0" customHeight="1">
      <c r="A84" s="54"/>
      <c r="B84" s="54"/>
      <c r="Q84" s="54"/>
      <c r="R84" s="54"/>
      <c r="S84" s="54"/>
      <c r="T84" s="54"/>
    </row>
    <row r="85" ht="15.0" customHeight="1">
      <c r="A85" s="53" t="s">
        <v>178</v>
      </c>
      <c r="B85" s="54"/>
      <c r="Q85" s="54"/>
      <c r="R85" s="54"/>
      <c r="S85" s="54"/>
      <c r="T85" s="54"/>
    </row>
    <row r="86" ht="15.0" customHeight="1">
      <c r="A86" s="59">
        <v>41830.0</v>
      </c>
      <c r="B86" s="53" t="s">
        <v>179</v>
      </c>
      <c r="Q86" s="54"/>
      <c r="R86" s="54"/>
      <c r="S86" s="54"/>
      <c r="T86" s="54"/>
    </row>
    <row r="87" ht="15.0" customHeight="1">
      <c r="A87" s="54"/>
      <c r="B87" s="53" t="s">
        <v>180</v>
      </c>
      <c r="Q87" s="54"/>
      <c r="R87" s="54"/>
      <c r="S87" s="54"/>
      <c r="T87" s="54"/>
    </row>
    <row r="88" ht="15.0" customHeight="1">
      <c r="A88" s="54"/>
      <c r="B88" s="53" t="s">
        <v>181</v>
      </c>
      <c r="Q88" s="54"/>
      <c r="R88" s="54"/>
      <c r="S88" s="54"/>
      <c r="T88" s="54"/>
    </row>
    <row r="89" ht="15.0" customHeight="1">
      <c r="A89" s="54"/>
      <c r="B89" s="53" t="s">
        <v>182</v>
      </c>
      <c r="Q89" s="54"/>
      <c r="R89" s="54"/>
      <c r="S89" s="54"/>
      <c r="T89" s="54"/>
    </row>
    <row r="90" ht="15.0" customHeight="1">
      <c r="A90" s="54"/>
      <c r="B90" s="54"/>
      <c r="Q90" s="54"/>
      <c r="R90" s="54"/>
      <c r="S90" s="54"/>
      <c r="T90" s="54"/>
    </row>
    <row r="91" ht="15.0" customHeight="1">
      <c r="A91" s="59">
        <v>41802.0</v>
      </c>
      <c r="B91" s="53" t="s">
        <v>183</v>
      </c>
      <c r="Q91" s="54"/>
      <c r="R91" s="54"/>
      <c r="S91" s="54"/>
      <c r="T91" s="54"/>
    </row>
    <row r="92" ht="15.0" customHeight="1">
      <c r="A92" s="54"/>
      <c r="B92" s="54"/>
      <c r="Q92" s="54"/>
      <c r="R92" s="54"/>
      <c r="S92" s="54"/>
      <c r="T92" s="54"/>
    </row>
    <row r="93" ht="15.0" customHeight="1">
      <c r="A93" s="60">
        <v>41774.0</v>
      </c>
      <c r="B93" s="53" t="s">
        <v>184</v>
      </c>
      <c r="Q93" s="54"/>
      <c r="R93" s="54"/>
      <c r="S93" s="54"/>
      <c r="T93" s="54"/>
    </row>
    <row r="94" ht="15.0" customHeight="1">
      <c r="A94" s="61"/>
      <c r="B94" s="53" t="s">
        <v>185</v>
      </c>
      <c r="Q94" s="54"/>
      <c r="R94" s="54"/>
      <c r="S94" s="54"/>
      <c r="T94" s="54"/>
    </row>
    <row r="95" ht="15.0" customHeight="1">
      <c r="A95" s="61"/>
      <c r="B95" s="53" t="s">
        <v>186</v>
      </c>
      <c r="Q95" s="54"/>
      <c r="R95" s="54"/>
      <c r="S95" s="54"/>
      <c r="T95" s="54"/>
    </row>
    <row r="96" ht="15.0" customHeight="1">
      <c r="A96" s="61"/>
      <c r="B96" s="53" t="s">
        <v>187</v>
      </c>
      <c r="Q96" s="54"/>
      <c r="R96" s="54"/>
      <c r="S96" s="54"/>
      <c r="T96" s="54"/>
    </row>
    <row r="97" ht="15.0" customHeight="1">
      <c r="A97" s="61"/>
      <c r="B97" s="53" t="s">
        <v>188</v>
      </c>
      <c r="Q97" s="54"/>
      <c r="R97" s="54"/>
      <c r="S97" s="54"/>
      <c r="T97" s="54"/>
    </row>
    <row r="98" ht="15.0" customHeight="1">
      <c r="A98" s="61"/>
      <c r="B98" s="53" t="s">
        <v>189</v>
      </c>
      <c r="Q98" s="54"/>
      <c r="R98" s="54"/>
      <c r="S98" s="54"/>
      <c r="T98" s="54"/>
    </row>
    <row r="99" ht="15.0" customHeight="1">
      <c r="A99" s="61"/>
      <c r="B99" s="53" t="s">
        <v>190</v>
      </c>
      <c r="Q99" s="54"/>
      <c r="R99" s="54"/>
      <c r="S99" s="54"/>
      <c r="T99" s="54"/>
    </row>
    <row r="100" ht="15.0" customHeight="1">
      <c r="A100" s="61"/>
      <c r="B100" s="53" t="s">
        <v>191</v>
      </c>
      <c r="Q100" s="54"/>
      <c r="R100" s="54"/>
      <c r="S100" s="54"/>
      <c r="T100" s="54"/>
    </row>
    <row r="101" ht="15.0" customHeight="1">
      <c r="A101" s="61"/>
      <c r="B101" s="53" t="s">
        <v>192</v>
      </c>
      <c r="Q101" s="54"/>
      <c r="R101" s="54"/>
      <c r="S101" s="54"/>
      <c r="T101" s="54"/>
    </row>
    <row r="102" ht="15.0" customHeight="1">
      <c r="A102" s="61"/>
      <c r="B102" s="53" t="s">
        <v>193</v>
      </c>
      <c r="Q102" s="54"/>
      <c r="R102" s="54"/>
      <c r="S102" s="54"/>
      <c r="T102" s="54"/>
    </row>
    <row r="103" ht="15.0" customHeight="1">
      <c r="A103" s="61"/>
      <c r="B103" s="53" t="s">
        <v>194</v>
      </c>
      <c r="Q103" s="54"/>
      <c r="R103" s="54"/>
      <c r="S103" s="54"/>
      <c r="T103" s="54"/>
    </row>
    <row r="104" ht="15.0" customHeight="1">
      <c r="A104" s="61"/>
      <c r="B104" s="53" t="s">
        <v>195</v>
      </c>
      <c r="Q104" s="54"/>
      <c r="R104" s="54"/>
      <c r="S104" s="54"/>
      <c r="T104" s="54"/>
    </row>
    <row r="105" ht="15.0" customHeight="1">
      <c r="A105" s="61"/>
      <c r="B105" s="53" t="s">
        <v>196</v>
      </c>
      <c r="Q105" s="54"/>
      <c r="R105" s="54"/>
      <c r="S105" s="54"/>
      <c r="T105" s="54"/>
    </row>
    <row r="106" ht="15.0" customHeight="1">
      <c r="A106" s="54"/>
      <c r="B106" s="54"/>
      <c r="Q106" s="54"/>
      <c r="R106" s="54"/>
      <c r="S106" s="54"/>
      <c r="T106" s="54"/>
    </row>
    <row r="107" ht="15.0" customHeight="1">
      <c r="A107" s="60">
        <v>41739.0</v>
      </c>
      <c r="B107" s="53" t="s">
        <v>197</v>
      </c>
      <c r="Q107" s="54"/>
      <c r="R107" s="54"/>
      <c r="S107" s="54"/>
      <c r="T107" s="54"/>
    </row>
    <row r="108" ht="15.0" customHeight="1">
      <c r="A108" s="54"/>
      <c r="B108" s="53" t="s">
        <v>198</v>
      </c>
      <c r="Q108" s="54"/>
      <c r="R108" s="54"/>
      <c r="S108" s="54"/>
      <c r="T108" s="54"/>
    </row>
    <row r="109" ht="15.0" customHeight="1">
      <c r="A109" s="54"/>
      <c r="B109" s="54"/>
      <c r="Q109" s="54"/>
      <c r="R109" s="54"/>
      <c r="S109" s="54"/>
      <c r="T109" s="54"/>
    </row>
    <row r="110" ht="15.0" customHeight="1">
      <c r="A110" s="60">
        <v>41738.0</v>
      </c>
      <c r="B110" s="53" t="s">
        <v>199</v>
      </c>
      <c r="Q110" s="54"/>
      <c r="R110" s="54"/>
      <c r="S110" s="54"/>
      <c r="T110" s="54"/>
    </row>
    <row r="111" ht="15.0" customHeight="1">
      <c r="A111" s="54"/>
      <c r="B111" s="53" t="s">
        <v>200</v>
      </c>
      <c r="Q111" s="54"/>
      <c r="R111" s="54"/>
      <c r="S111" s="54"/>
      <c r="T111" s="54"/>
    </row>
    <row r="112" ht="15.0" customHeight="1">
      <c r="A112" s="54"/>
      <c r="B112" s="53" t="s">
        <v>201</v>
      </c>
      <c r="Q112" s="54"/>
      <c r="R112" s="54"/>
      <c r="S112" s="54"/>
      <c r="T112" s="54"/>
    </row>
    <row r="113" ht="15.0" customHeight="1">
      <c r="A113" s="54"/>
      <c r="B113" s="54"/>
      <c r="Q113" s="54"/>
      <c r="R113" s="54"/>
      <c r="S113" s="54"/>
      <c r="T113" s="54"/>
    </row>
    <row r="114" ht="15.0" customHeight="1">
      <c r="A114" s="60">
        <v>41700.0</v>
      </c>
      <c r="B114" s="53" t="s">
        <v>202</v>
      </c>
      <c r="Q114" s="54"/>
      <c r="R114" s="54"/>
      <c r="S114" s="54"/>
      <c r="T114" s="54"/>
    </row>
    <row r="115" ht="15.0" customHeight="1">
      <c r="A115" s="54"/>
      <c r="B115" s="53" t="s">
        <v>203</v>
      </c>
      <c r="Q115" s="54"/>
      <c r="R115" s="54"/>
      <c r="S115" s="54"/>
      <c r="T115" s="54"/>
    </row>
    <row r="116" ht="15.0" customHeight="1">
      <c r="A116" s="54"/>
      <c r="B116" s="54"/>
      <c r="Q116" s="54"/>
      <c r="R116" s="54"/>
      <c r="S116" s="54"/>
      <c r="T116" s="54"/>
    </row>
    <row r="117" ht="15.0" customHeight="1">
      <c r="A117" s="60">
        <v>41695.0</v>
      </c>
      <c r="B117" s="53" t="s">
        <v>204</v>
      </c>
      <c r="Q117" s="54"/>
      <c r="R117" s="54"/>
      <c r="S117" s="54"/>
      <c r="T117" s="54"/>
    </row>
    <row r="118" ht="15.0" customHeight="1">
      <c r="A118" s="61"/>
      <c r="B118" s="53" t="s">
        <v>205</v>
      </c>
      <c r="Q118" s="54"/>
      <c r="R118" s="54"/>
      <c r="S118" s="54"/>
      <c r="T118" s="54"/>
    </row>
    <row r="119" ht="15.0" customHeight="1">
      <c r="A119" s="61"/>
      <c r="B119" s="53" t="s">
        <v>206</v>
      </c>
      <c r="Q119" s="54"/>
      <c r="R119" s="54"/>
      <c r="S119" s="54"/>
      <c r="T119" s="54"/>
    </row>
    <row r="120" ht="15.0" customHeight="1">
      <c r="A120" s="54"/>
      <c r="B120" s="54"/>
      <c r="Q120" s="54"/>
      <c r="R120" s="54"/>
      <c r="S120" s="54"/>
      <c r="T120" s="54"/>
    </row>
    <row r="121" ht="15.0" customHeight="1">
      <c r="A121" s="60">
        <v>41401.0</v>
      </c>
      <c r="B121" s="53" t="s">
        <v>207</v>
      </c>
      <c r="Q121" s="54"/>
      <c r="R121" s="54"/>
      <c r="S121" s="54"/>
      <c r="T121" s="54"/>
    </row>
    <row r="122" ht="15.0" customHeight="1">
      <c r="A122" s="54"/>
      <c r="B122" s="54"/>
      <c r="Q122" s="54"/>
      <c r="R122" s="54"/>
      <c r="S122" s="54"/>
      <c r="T122" s="54"/>
    </row>
    <row r="123" ht="15.0" customHeight="1">
      <c r="A123" s="60">
        <v>41331.0</v>
      </c>
      <c r="B123" s="53" t="s">
        <v>208</v>
      </c>
      <c r="Q123" s="54"/>
      <c r="R123" s="54"/>
      <c r="S123" s="54"/>
      <c r="T123" s="54"/>
    </row>
    <row r="124" ht="15.0" customHeight="1">
      <c r="A124" s="54"/>
      <c r="B124" s="54"/>
      <c r="Q124" s="54"/>
      <c r="R124" s="54"/>
      <c r="S124" s="54"/>
      <c r="T124" s="54"/>
    </row>
    <row r="125" ht="15.0" customHeight="1">
      <c r="A125" s="60">
        <v>40951.0</v>
      </c>
      <c r="B125" s="53" t="s">
        <v>209</v>
      </c>
      <c r="Q125" s="54"/>
      <c r="R125" s="54"/>
      <c r="S125" s="54"/>
      <c r="T125" s="54"/>
    </row>
    <row r="126" ht="15.0" customHeight="1">
      <c r="A126" s="54"/>
      <c r="B126" s="53" t="s">
        <v>210</v>
      </c>
      <c r="Q126" s="54"/>
      <c r="R126" s="54"/>
      <c r="S126" s="54"/>
      <c r="T126" s="54"/>
    </row>
    <row r="127" ht="15.0" customHeight="1">
      <c r="A127" s="54"/>
      <c r="B127" s="53" t="s">
        <v>211</v>
      </c>
      <c r="Q127" s="54"/>
      <c r="R127" s="54"/>
      <c r="S127" s="54"/>
      <c r="T127" s="54"/>
    </row>
    <row r="128" ht="15.0" customHeight="1">
      <c r="A128" s="54"/>
      <c r="B128" s="53" t="s">
        <v>212</v>
      </c>
      <c r="Q128" s="54"/>
      <c r="R128" s="54"/>
      <c r="S128" s="54"/>
      <c r="T128" s="54"/>
    </row>
    <row r="129" ht="15.0" customHeight="1">
      <c r="A129" s="54"/>
      <c r="B129" s="53" t="s">
        <v>213</v>
      </c>
      <c r="Q129" s="54"/>
      <c r="R129" s="54"/>
      <c r="S129" s="54"/>
      <c r="T129" s="54"/>
    </row>
    <row r="130" ht="15.0" customHeight="1">
      <c r="A130" s="54"/>
      <c r="B130" s="54"/>
      <c r="Q130" s="54"/>
      <c r="R130" s="54"/>
      <c r="S130" s="54"/>
      <c r="T130" s="54"/>
    </row>
    <row r="131" ht="15.0" customHeight="1">
      <c r="A131" s="60">
        <v>41251.0</v>
      </c>
      <c r="B131" s="53" t="s">
        <v>214</v>
      </c>
      <c r="Q131" s="54"/>
      <c r="R131" s="54"/>
      <c r="S131" s="54"/>
      <c r="T131" s="54"/>
    </row>
    <row r="132" ht="15.0" customHeight="1">
      <c r="A132" s="54"/>
      <c r="B132" s="54"/>
      <c r="Q132" s="54"/>
      <c r="R132" s="54"/>
      <c r="S132" s="54"/>
      <c r="T132" s="54"/>
    </row>
    <row r="133" ht="15.0" customHeight="1">
      <c r="A133" s="60">
        <v>41249.0</v>
      </c>
      <c r="B133" s="53" t="s">
        <v>215</v>
      </c>
      <c r="Q133" s="54"/>
      <c r="R133" s="54"/>
      <c r="S133" s="54"/>
      <c r="T133" s="54"/>
    </row>
    <row r="134" ht="15.0" customHeight="1">
      <c r="A134" s="54"/>
      <c r="B134" s="53" t="s">
        <v>216</v>
      </c>
      <c r="Q134" s="54"/>
      <c r="R134" s="54"/>
      <c r="S134" s="54"/>
      <c r="T134" s="54"/>
    </row>
    <row r="135" ht="15.0" customHeight="1">
      <c r="A135" s="54"/>
      <c r="B135" s="53" t="s">
        <v>217</v>
      </c>
      <c r="Q135" s="54"/>
      <c r="R135" s="54"/>
      <c r="S135" s="54"/>
      <c r="T135" s="54"/>
    </row>
    <row r="136" ht="15.0" customHeight="1">
      <c r="A136" s="54"/>
      <c r="B136" s="53" t="s">
        <v>218</v>
      </c>
      <c r="Q136" s="54"/>
      <c r="R136" s="54"/>
      <c r="S136" s="54"/>
      <c r="T136" s="54"/>
    </row>
    <row r="137" ht="15.0" customHeight="1">
      <c r="A137" s="54"/>
      <c r="B137" s="53" t="s">
        <v>219</v>
      </c>
      <c r="Q137" s="54"/>
      <c r="R137" s="54"/>
      <c r="S137" s="54"/>
      <c r="T137" s="54"/>
    </row>
    <row r="138" ht="15.0" customHeight="1">
      <c r="A138" s="54"/>
      <c r="B138" s="54"/>
      <c r="Q138" s="54"/>
      <c r="R138" s="54"/>
      <c r="S138" s="54"/>
      <c r="T138" s="54"/>
    </row>
    <row r="139" ht="15.0" customHeight="1">
      <c r="A139" s="60">
        <v>41238.0</v>
      </c>
      <c r="B139" s="53" t="s">
        <v>220</v>
      </c>
      <c r="Q139" s="54"/>
      <c r="R139" s="54"/>
      <c r="S139" s="54"/>
      <c r="T139" s="54"/>
    </row>
    <row r="140" ht="15.0" customHeight="1">
      <c r="A140" s="54"/>
      <c r="B140" s="54"/>
      <c r="Q140" s="54"/>
      <c r="R140" s="54"/>
      <c r="S140" s="54"/>
      <c r="T140" s="54"/>
    </row>
    <row r="141" ht="15.0" customHeight="1">
      <c r="A141" s="60">
        <v>41233.0</v>
      </c>
      <c r="B141" s="53" t="s">
        <v>221</v>
      </c>
      <c r="Q141" s="54"/>
      <c r="R141" s="54"/>
      <c r="S141" s="54"/>
      <c r="T141" s="54"/>
    </row>
    <row r="142" ht="15.0" customHeight="1">
      <c r="A142" s="54"/>
      <c r="B142" s="53" t="s">
        <v>222</v>
      </c>
      <c r="Q142" s="54"/>
      <c r="R142" s="54"/>
      <c r="S142" s="54"/>
      <c r="T142" s="54"/>
    </row>
    <row r="143" ht="15.0" customHeight="1">
      <c r="A143" s="54"/>
      <c r="B143" s="54"/>
      <c r="Q143" s="54"/>
      <c r="R143" s="54"/>
      <c r="S143" s="54"/>
      <c r="T143" s="54"/>
    </row>
    <row r="144" ht="15.0" customHeight="1">
      <c r="A144" s="60">
        <v>41232.0</v>
      </c>
      <c r="B144" s="53" t="s">
        <v>223</v>
      </c>
      <c r="Q144" s="54"/>
      <c r="R144" s="54"/>
      <c r="S144" s="54"/>
      <c r="T144" s="54"/>
    </row>
    <row r="145" ht="15.0" customHeight="1">
      <c r="A145" s="54"/>
      <c r="B145" s="54"/>
      <c r="Q145" s="54"/>
      <c r="R145" s="54"/>
      <c r="S145" s="54"/>
      <c r="T145" s="54"/>
    </row>
    <row r="146" ht="15.0" customHeight="1">
      <c r="A146" s="60">
        <v>41227.0</v>
      </c>
      <c r="B146" s="53" t="s">
        <v>224</v>
      </c>
      <c r="Q146" s="54"/>
      <c r="R146" s="54"/>
      <c r="S146" s="54"/>
      <c r="T146" s="54"/>
    </row>
    <row r="147" ht="15.0" customHeight="1">
      <c r="A147" s="54"/>
      <c r="B147" s="53" t="s">
        <v>225</v>
      </c>
      <c r="Q147" s="54"/>
      <c r="R147" s="54"/>
      <c r="S147" s="54"/>
      <c r="T147" s="54"/>
    </row>
    <row r="148" ht="15.0" customHeight="1">
      <c r="A148" s="54"/>
      <c r="B148" s="54"/>
      <c r="Q148" s="54"/>
      <c r="R148" s="54"/>
      <c r="S148" s="54"/>
      <c r="T148" s="54"/>
    </row>
    <row r="149" ht="15.0" customHeight="1">
      <c r="A149" s="60">
        <v>41224.0</v>
      </c>
      <c r="B149" s="53" t="s">
        <v>226</v>
      </c>
      <c r="Q149" s="54"/>
      <c r="R149" s="54"/>
      <c r="S149" s="54"/>
      <c r="T149" s="54"/>
    </row>
    <row r="150" ht="15.0" customHeight="1">
      <c r="A150" s="54"/>
      <c r="B150" s="53" t="s">
        <v>227</v>
      </c>
      <c r="Q150" s="54"/>
      <c r="R150" s="54"/>
      <c r="S150" s="54"/>
      <c r="T150" s="54"/>
    </row>
    <row r="151" ht="15.0" customHeight="1">
      <c r="A151" s="54"/>
      <c r="B151" s="53" t="s">
        <v>228</v>
      </c>
      <c r="Q151" s="54"/>
      <c r="R151" s="54"/>
      <c r="S151" s="54"/>
      <c r="T151" s="54"/>
    </row>
    <row r="152" ht="15.0" customHeight="1">
      <c r="A152" s="54"/>
      <c r="B152" s="53" t="s">
        <v>229</v>
      </c>
      <c r="Q152" s="54"/>
      <c r="R152" s="54"/>
      <c r="S152" s="54"/>
      <c r="T152" s="54"/>
    </row>
    <row r="153" ht="15.0" customHeight="1">
      <c r="A153" s="62"/>
      <c r="B153" s="4"/>
      <c r="C153" s="4"/>
      <c r="D153" s="4"/>
      <c r="E153" s="4"/>
      <c r="F153" s="4"/>
      <c r="G153" s="4"/>
      <c r="H153" s="4"/>
      <c r="I153" s="4"/>
      <c r="J153" s="4"/>
      <c r="K153" s="4"/>
      <c r="L153" s="4"/>
      <c r="M153" s="4"/>
      <c r="N153" s="4"/>
      <c r="O153" s="4"/>
      <c r="P153" s="24"/>
      <c r="Q153" s="63"/>
      <c r="R153" s="54"/>
      <c r="S153" s="54"/>
      <c r="T153" s="54"/>
    </row>
    <row r="154" ht="15.0" customHeight="1">
      <c r="A154" s="13"/>
      <c r="B154" s="7"/>
      <c r="C154" s="7"/>
      <c r="D154" s="7"/>
      <c r="E154" s="7"/>
      <c r="F154" s="7"/>
      <c r="G154" s="7"/>
      <c r="H154" s="7"/>
      <c r="I154" s="7"/>
      <c r="J154" s="7"/>
      <c r="K154" s="7"/>
      <c r="L154" s="7"/>
      <c r="M154" s="7"/>
      <c r="N154" s="7"/>
      <c r="O154" s="7"/>
      <c r="P154" s="8"/>
      <c r="Q154" s="63"/>
      <c r="R154" s="54"/>
      <c r="S154" s="54"/>
      <c r="T154" s="54"/>
    </row>
    <row r="155" ht="15.0" customHeight="1">
      <c r="A155" s="13"/>
      <c r="B155" s="7"/>
      <c r="C155" s="7"/>
      <c r="D155" s="7"/>
      <c r="E155" s="7"/>
      <c r="F155" s="7"/>
      <c r="G155" s="7"/>
      <c r="H155" s="7"/>
      <c r="I155" s="7"/>
      <c r="J155" s="7"/>
      <c r="K155" s="7"/>
      <c r="L155" s="7"/>
      <c r="M155" s="7"/>
      <c r="N155" s="7"/>
      <c r="O155" s="7"/>
      <c r="P155" s="8"/>
      <c r="Q155" s="63"/>
      <c r="R155" s="54"/>
      <c r="S155" s="54"/>
      <c r="T155" s="54"/>
    </row>
    <row r="156" ht="15.0" customHeight="1">
      <c r="A156" s="13"/>
      <c r="B156" s="7"/>
      <c r="C156" s="7"/>
      <c r="D156" s="7"/>
      <c r="E156" s="7"/>
      <c r="F156" s="7"/>
      <c r="G156" s="7"/>
      <c r="H156" s="7"/>
      <c r="I156" s="7"/>
      <c r="J156" s="7"/>
      <c r="K156" s="7"/>
      <c r="L156" s="7"/>
      <c r="M156" s="7"/>
      <c r="N156" s="7"/>
      <c r="O156" s="7"/>
      <c r="P156" s="8"/>
      <c r="Q156" s="63"/>
      <c r="R156" s="54"/>
      <c r="S156" s="54"/>
      <c r="T156" s="54"/>
    </row>
    <row r="157" ht="18.75" customHeight="1">
      <c r="A157" s="64" t="s">
        <v>230</v>
      </c>
      <c r="B157" s="17"/>
      <c r="C157" s="17"/>
      <c r="D157" s="17"/>
      <c r="E157" s="17"/>
      <c r="F157" s="17"/>
      <c r="G157" s="17"/>
      <c r="H157" s="17"/>
      <c r="I157" s="17"/>
      <c r="J157" s="17"/>
      <c r="K157" s="17"/>
      <c r="L157" s="17"/>
      <c r="M157" s="17"/>
      <c r="N157" s="65"/>
      <c r="O157" s="65"/>
      <c r="P157" s="65"/>
      <c r="Q157" s="54"/>
      <c r="R157" s="54"/>
      <c r="S157" s="54"/>
      <c r="T157" s="54"/>
    </row>
    <row r="158" ht="15.0" customHeight="1">
      <c r="A158" s="53" t="s">
        <v>231</v>
      </c>
      <c r="B158" s="53" t="s">
        <v>232</v>
      </c>
      <c r="N158" s="54"/>
      <c r="O158" s="54"/>
      <c r="P158" s="54"/>
      <c r="Q158" s="54"/>
      <c r="R158" s="54"/>
      <c r="S158" s="54"/>
      <c r="T158" s="54"/>
    </row>
    <row r="159" ht="15.0" customHeight="1">
      <c r="A159" s="54"/>
      <c r="B159" s="53" t="s">
        <v>233</v>
      </c>
      <c r="N159" s="54"/>
      <c r="O159" s="54"/>
      <c r="P159" s="54"/>
      <c r="Q159" s="54"/>
      <c r="R159" s="54"/>
      <c r="S159" s="54"/>
      <c r="T159" s="54"/>
    </row>
    <row r="160" ht="15.0" customHeight="1">
      <c r="A160" s="54"/>
      <c r="B160" s="53" t="s">
        <v>234</v>
      </c>
      <c r="N160" s="54"/>
      <c r="O160" s="54"/>
      <c r="P160" s="54"/>
      <c r="Q160" s="54"/>
      <c r="R160" s="54"/>
      <c r="S160" s="54"/>
      <c r="T160" s="54"/>
    </row>
    <row r="161" ht="15.0" customHeight="1">
      <c r="A161" s="54"/>
      <c r="B161" s="53" t="s">
        <v>235</v>
      </c>
      <c r="N161" s="54"/>
      <c r="O161" s="54"/>
      <c r="P161" s="54"/>
      <c r="Q161" s="54"/>
      <c r="R161" s="54"/>
      <c r="S161" s="54"/>
      <c r="T161" s="54"/>
    </row>
    <row r="162" ht="15.0" customHeight="1">
      <c r="A162" s="54"/>
      <c r="B162" s="53" t="s">
        <v>236</v>
      </c>
      <c r="N162" s="54"/>
      <c r="O162" s="54"/>
      <c r="P162" s="54"/>
      <c r="Q162" s="54"/>
      <c r="R162" s="54"/>
      <c r="S162" s="54"/>
      <c r="T162" s="54"/>
    </row>
    <row r="163" ht="15.0" customHeight="1">
      <c r="A163" s="54"/>
      <c r="B163" s="53" t="s">
        <v>237</v>
      </c>
      <c r="N163" s="54"/>
      <c r="O163" s="54"/>
      <c r="P163" s="54"/>
      <c r="Q163" s="54"/>
      <c r="R163" s="54"/>
      <c r="S163" s="54"/>
      <c r="T163" s="54"/>
    </row>
    <row r="164" ht="15.0" customHeight="1">
      <c r="A164" s="54"/>
      <c r="B164" s="53" t="s">
        <v>238</v>
      </c>
      <c r="N164" s="54"/>
      <c r="O164" s="54"/>
      <c r="P164" s="54"/>
      <c r="Q164" s="54"/>
      <c r="R164" s="54"/>
      <c r="S164" s="54"/>
      <c r="T164" s="54"/>
    </row>
    <row r="165" ht="15.0" customHeight="1">
      <c r="A165" s="54"/>
      <c r="B165" s="53" t="s">
        <v>239</v>
      </c>
      <c r="N165" s="54"/>
      <c r="O165" s="54"/>
      <c r="P165" s="54"/>
      <c r="Q165" s="54"/>
      <c r="R165" s="54"/>
      <c r="S165" s="54"/>
      <c r="T165" s="54"/>
    </row>
    <row r="166" ht="15.0" customHeight="1">
      <c r="A166" s="54"/>
      <c r="B166" s="53" t="s">
        <v>240</v>
      </c>
      <c r="N166" s="54"/>
      <c r="O166" s="54"/>
      <c r="P166" s="54"/>
      <c r="Q166" s="54"/>
      <c r="R166" s="54"/>
      <c r="S166" s="54"/>
      <c r="T166" s="54"/>
    </row>
    <row r="167" ht="15.0" customHeight="1">
      <c r="A167" s="54"/>
      <c r="B167" s="53" t="s">
        <v>241</v>
      </c>
      <c r="N167" s="54"/>
      <c r="O167" s="54"/>
      <c r="P167" s="54"/>
      <c r="Q167" s="54"/>
      <c r="R167" s="54"/>
      <c r="S167" s="54"/>
      <c r="T167" s="54"/>
    </row>
    <row r="168" ht="15.0" customHeight="1">
      <c r="A168" s="54"/>
      <c r="B168" s="53" t="s">
        <v>242</v>
      </c>
      <c r="N168" s="54"/>
      <c r="O168" s="54"/>
      <c r="P168" s="54"/>
      <c r="Q168" s="54"/>
      <c r="R168" s="54"/>
      <c r="S168" s="54"/>
      <c r="T168" s="54"/>
    </row>
    <row r="169" ht="15.0" customHeight="1">
      <c r="A169" s="54"/>
      <c r="B169" s="53" t="s">
        <v>243</v>
      </c>
      <c r="N169" s="54"/>
      <c r="O169" s="54"/>
      <c r="P169" s="54"/>
      <c r="Q169" s="54"/>
      <c r="R169" s="54"/>
      <c r="S169" s="54"/>
      <c r="T169" s="54"/>
    </row>
    <row r="170" ht="15.0" customHeight="1">
      <c r="A170" s="54"/>
      <c r="B170" s="53" t="s">
        <v>244</v>
      </c>
      <c r="N170" s="54"/>
      <c r="O170" s="54"/>
      <c r="P170" s="54"/>
      <c r="Q170" s="54"/>
      <c r="R170" s="54"/>
      <c r="S170" s="54"/>
      <c r="T170" s="54"/>
    </row>
    <row r="171" ht="15.0" customHeight="1">
      <c r="A171" s="54"/>
      <c r="B171" s="53" t="s">
        <v>245</v>
      </c>
      <c r="N171" s="54"/>
      <c r="O171" s="54"/>
      <c r="P171" s="54"/>
      <c r="Q171" s="54"/>
      <c r="R171" s="54"/>
      <c r="S171" s="54"/>
      <c r="T171" s="54"/>
    </row>
    <row r="172" ht="15.0" customHeight="1">
      <c r="A172" s="54"/>
      <c r="B172" s="53" t="s">
        <v>246</v>
      </c>
      <c r="N172" s="54"/>
      <c r="O172" s="54"/>
      <c r="P172" s="54"/>
      <c r="Q172" s="54"/>
      <c r="R172" s="54"/>
      <c r="S172" s="54"/>
      <c r="T172" s="54"/>
    </row>
    <row r="173" ht="15.0" customHeight="1">
      <c r="A173" s="54"/>
      <c r="B173" s="53" t="s">
        <v>247</v>
      </c>
      <c r="N173" s="54"/>
      <c r="O173" s="54"/>
      <c r="P173" s="54"/>
      <c r="Q173" s="54"/>
      <c r="R173" s="54"/>
      <c r="S173" s="54"/>
      <c r="T173" s="54"/>
    </row>
    <row r="174" ht="15.0" customHeight="1">
      <c r="A174" s="54"/>
      <c r="B174" s="53" t="s">
        <v>248</v>
      </c>
      <c r="N174" s="54"/>
      <c r="O174" s="54"/>
      <c r="P174" s="54"/>
      <c r="Q174" s="54"/>
      <c r="R174" s="54"/>
      <c r="S174" s="54"/>
      <c r="T174" s="54"/>
    </row>
    <row r="175" ht="15.0" customHeight="1">
      <c r="A175" s="54"/>
      <c r="B175" s="53" t="s">
        <v>249</v>
      </c>
      <c r="N175" s="54"/>
      <c r="O175" s="54"/>
      <c r="P175" s="54"/>
      <c r="Q175" s="54"/>
      <c r="R175" s="54"/>
      <c r="S175" s="54"/>
      <c r="T175" s="54"/>
    </row>
    <row r="176" ht="15.0" customHeight="1">
      <c r="A176" s="54"/>
      <c r="B176" s="53" t="s">
        <v>250</v>
      </c>
      <c r="N176" s="54"/>
      <c r="O176" s="54"/>
      <c r="P176" s="54"/>
      <c r="Q176" s="54"/>
      <c r="R176" s="54"/>
      <c r="S176" s="54"/>
      <c r="T176" s="54"/>
    </row>
    <row r="177" ht="15.0" customHeight="1">
      <c r="A177" s="54"/>
      <c r="B177" s="53" t="s">
        <v>251</v>
      </c>
      <c r="N177" s="54"/>
      <c r="O177" s="54"/>
      <c r="P177" s="54"/>
      <c r="Q177" s="54"/>
      <c r="R177" s="54"/>
      <c r="S177" s="54"/>
      <c r="T177" s="54"/>
    </row>
    <row r="178" ht="15.0" customHeight="1">
      <c r="A178" s="54"/>
      <c r="B178" s="53" t="s">
        <v>252</v>
      </c>
      <c r="N178" s="54"/>
      <c r="O178" s="54"/>
      <c r="P178" s="54"/>
      <c r="Q178" s="54"/>
      <c r="R178" s="54"/>
      <c r="S178" s="54"/>
      <c r="T178" s="54"/>
    </row>
    <row r="179" ht="15.0" customHeight="1">
      <c r="A179" s="54"/>
      <c r="B179" s="54"/>
      <c r="N179" s="54"/>
      <c r="O179" s="54"/>
      <c r="P179" s="54"/>
      <c r="Q179" s="54"/>
      <c r="R179" s="54"/>
      <c r="S179" s="54"/>
      <c r="T179" s="54"/>
    </row>
    <row r="180" ht="15.0" customHeight="1">
      <c r="A180" s="53" t="s">
        <v>253</v>
      </c>
      <c r="B180" s="53" t="s">
        <v>254</v>
      </c>
      <c r="N180" s="54"/>
      <c r="O180" s="54"/>
      <c r="P180" s="54"/>
      <c r="Q180" s="54"/>
      <c r="R180" s="54"/>
      <c r="S180" s="54"/>
      <c r="T180" s="54"/>
    </row>
    <row r="181" ht="15.0" customHeight="1">
      <c r="A181" s="54"/>
      <c r="B181" s="53" t="s">
        <v>255</v>
      </c>
      <c r="N181" s="54"/>
      <c r="O181" s="54"/>
      <c r="P181" s="54"/>
      <c r="Q181" s="54"/>
      <c r="R181" s="54"/>
      <c r="S181" s="54"/>
      <c r="T181" s="54"/>
    </row>
    <row r="182" ht="15.0" customHeight="1">
      <c r="A182" s="54"/>
      <c r="B182" s="53" t="s">
        <v>256</v>
      </c>
      <c r="N182" s="54"/>
      <c r="O182" s="54"/>
      <c r="P182" s="54"/>
      <c r="Q182" s="54"/>
      <c r="R182" s="54"/>
      <c r="S182" s="54"/>
      <c r="T182" s="54"/>
    </row>
    <row r="183" ht="15.0" customHeight="1">
      <c r="A183" s="54"/>
      <c r="B183" s="53" t="s">
        <v>257</v>
      </c>
      <c r="N183" s="54"/>
      <c r="O183" s="54"/>
      <c r="P183" s="54"/>
      <c r="Q183" s="54"/>
      <c r="R183" s="54"/>
      <c r="S183" s="54"/>
      <c r="T183" s="54"/>
    </row>
    <row r="184" ht="15.0" customHeight="1">
      <c r="A184" s="54"/>
      <c r="B184" s="53" t="s">
        <v>258</v>
      </c>
      <c r="N184" s="54"/>
      <c r="O184" s="54"/>
      <c r="P184" s="54"/>
      <c r="Q184" s="54"/>
      <c r="R184" s="54"/>
      <c r="S184" s="54"/>
      <c r="T184" s="54"/>
    </row>
    <row r="185" ht="15.0" customHeight="1">
      <c r="A185" s="54"/>
      <c r="B185" s="53" t="s">
        <v>259</v>
      </c>
      <c r="N185" s="54"/>
      <c r="O185" s="54"/>
      <c r="P185" s="54"/>
      <c r="Q185" s="54"/>
      <c r="R185" s="54"/>
      <c r="S185" s="54"/>
      <c r="T185" s="54"/>
    </row>
    <row r="186" ht="15.0" customHeight="1">
      <c r="A186" s="54"/>
      <c r="B186" s="53" t="s">
        <v>260</v>
      </c>
      <c r="N186" s="54"/>
      <c r="O186" s="54"/>
      <c r="P186" s="54"/>
      <c r="Q186" s="54"/>
      <c r="R186" s="54"/>
      <c r="S186" s="54"/>
      <c r="T186" s="54"/>
    </row>
    <row r="187" ht="15.0" customHeight="1">
      <c r="A187" s="54"/>
      <c r="B187" s="53" t="s">
        <v>261</v>
      </c>
      <c r="N187" s="54"/>
      <c r="O187" s="54"/>
      <c r="P187" s="54"/>
      <c r="Q187" s="54"/>
      <c r="R187" s="54"/>
      <c r="S187" s="54"/>
      <c r="T187" s="54"/>
    </row>
    <row r="188" ht="15.0" customHeight="1">
      <c r="A188" s="54"/>
      <c r="B188" s="53" t="s">
        <v>262</v>
      </c>
      <c r="N188" s="54"/>
      <c r="O188" s="54"/>
      <c r="P188" s="54"/>
      <c r="Q188" s="54"/>
      <c r="R188" s="54"/>
      <c r="S188" s="54"/>
      <c r="T188" s="54"/>
    </row>
    <row r="189" ht="15.0" customHeight="1">
      <c r="A189" s="54"/>
      <c r="B189" s="53" t="s">
        <v>263</v>
      </c>
      <c r="N189" s="54"/>
      <c r="O189" s="54"/>
      <c r="P189" s="54"/>
      <c r="Q189" s="54"/>
      <c r="R189" s="54"/>
      <c r="S189" s="54"/>
      <c r="T189" s="54"/>
    </row>
    <row r="190" ht="15.0" customHeight="1">
      <c r="A190" s="54"/>
      <c r="B190" s="53" t="s">
        <v>264</v>
      </c>
      <c r="N190" s="54"/>
      <c r="O190" s="54"/>
      <c r="P190" s="54"/>
      <c r="Q190" s="54"/>
      <c r="R190" s="54"/>
      <c r="S190" s="54"/>
      <c r="T190" s="54"/>
    </row>
    <row r="191" ht="15.0" customHeight="1">
      <c r="A191" s="54"/>
      <c r="B191" s="53" t="s">
        <v>265</v>
      </c>
      <c r="N191" s="54"/>
      <c r="O191" s="54"/>
      <c r="P191" s="54"/>
      <c r="Q191" s="54"/>
      <c r="R191" s="54"/>
      <c r="S191" s="54"/>
      <c r="T191" s="54"/>
    </row>
    <row r="192" ht="15.0" customHeight="1">
      <c r="A192" s="54"/>
      <c r="B192" s="53" t="s">
        <v>266</v>
      </c>
      <c r="N192" s="54"/>
      <c r="O192" s="54"/>
      <c r="P192" s="54"/>
      <c r="Q192" s="54"/>
      <c r="R192" s="54"/>
      <c r="S192" s="54"/>
      <c r="T192" s="54"/>
    </row>
    <row r="193" ht="15.0" customHeight="1">
      <c r="A193" s="54"/>
      <c r="B193" s="53" t="s">
        <v>267</v>
      </c>
      <c r="N193" s="54"/>
      <c r="O193" s="54"/>
      <c r="P193" s="54"/>
      <c r="Q193" s="54"/>
      <c r="R193" s="54"/>
      <c r="S193" s="54"/>
      <c r="T193" s="54"/>
    </row>
    <row r="194" ht="15.0" customHeight="1">
      <c r="A194" s="54"/>
      <c r="B194" s="53" t="s">
        <v>268</v>
      </c>
      <c r="N194" s="54"/>
      <c r="O194" s="54"/>
      <c r="P194" s="54"/>
      <c r="Q194" s="54"/>
      <c r="R194" s="54"/>
      <c r="S194" s="54"/>
      <c r="T194" s="54"/>
    </row>
    <row r="195" ht="15.0" customHeight="1">
      <c r="A195" s="54"/>
      <c r="B195" s="53" t="s">
        <v>269</v>
      </c>
      <c r="N195" s="54"/>
      <c r="O195" s="54"/>
      <c r="P195" s="54"/>
      <c r="Q195" s="54"/>
      <c r="R195" s="54"/>
      <c r="S195" s="54"/>
      <c r="T195" s="54"/>
    </row>
    <row r="196" ht="15.0" customHeight="1">
      <c r="A196" s="54"/>
      <c r="B196" s="53" t="s">
        <v>270</v>
      </c>
      <c r="N196" s="54"/>
      <c r="O196" s="54"/>
      <c r="P196" s="54"/>
      <c r="Q196" s="54"/>
      <c r="R196" s="54"/>
      <c r="S196" s="54"/>
      <c r="T196" s="54"/>
    </row>
    <row r="197" ht="15.0" customHeight="1">
      <c r="A197" s="54"/>
      <c r="B197" s="53" t="s">
        <v>271</v>
      </c>
      <c r="N197" s="54"/>
      <c r="O197" s="54"/>
      <c r="P197" s="54"/>
      <c r="Q197" s="54"/>
      <c r="R197" s="54"/>
      <c r="S197" s="54"/>
      <c r="T197" s="54"/>
    </row>
    <row r="198" ht="15.0" customHeight="1">
      <c r="A198" s="54"/>
      <c r="B198" s="53" t="s">
        <v>272</v>
      </c>
      <c r="N198" s="54"/>
      <c r="O198" s="54"/>
      <c r="P198" s="54"/>
      <c r="Q198" s="54"/>
      <c r="R198" s="54"/>
      <c r="S198" s="54"/>
      <c r="T198" s="54"/>
    </row>
    <row r="199" ht="15.0" customHeight="1">
      <c r="A199" s="54"/>
      <c r="B199" s="53" t="s">
        <v>273</v>
      </c>
      <c r="N199" s="54"/>
      <c r="O199" s="54"/>
      <c r="P199" s="54"/>
      <c r="Q199" s="54"/>
      <c r="R199" s="54"/>
      <c r="S199" s="54"/>
      <c r="T199" s="54"/>
    </row>
    <row r="200" ht="15.0" customHeight="1">
      <c r="A200" s="54"/>
      <c r="B200" s="53" t="s">
        <v>274</v>
      </c>
      <c r="N200" s="54"/>
      <c r="O200" s="54"/>
      <c r="P200" s="54"/>
      <c r="Q200" s="54"/>
      <c r="R200" s="54"/>
      <c r="S200" s="54"/>
      <c r="T200" s="54"/>
    </row>
    <row r="201" ht="15.0" customHeight="1">
      <c r="A201" s="54"/>
      <c r="B201" s="53" t="s">
        <v>275</v>
      </c>
      <c r="N201" s="54"/>
      <c r="O201" s="54"/>
      <c r="P201" s="54"/>
      <c r="Q201" s="54"/>
      <c r="R201" s="54"/>
      <c r="S201" s="54"/>
      <c r="T201" s="54"/>
    </row>
    <row r="202" ht="15.0" customHeight="1">
      <c r="A202" s="54"/>
      <c r="B202" s="53" t="s">
        <v>276</v>
      </c>
      <c r="N202" s="54"/>
      <c r="O202" s="54"/>
      <c r="P202" s="54"/>
      <c r="Q202" s="54"/>
      <c r="R202" s="54"/>
      <c r="S202" s="54"/>
      <c r="T202" s="54"/>
    </row>
    <row r="203" ht="15.0" customHeight="1">
      <c r="A203" s="54"/>
      <c r="B203" s="53" t="s">
        <v>277</v>
      </c>
      <c r="N203" s="54"/>
      <c r="O203" s="54"/>
      <c r="P203" s="54"/>
      <c r="Q203" s="54"/>
      <c r="R203" s="54"/>
      <c r="S203" s="54"/>
      <c r="T203" s="54"/>
    </row>
    <row r="204" ht="15.0" customHeight="1">
      <c r="A204" s="54"/>
      <c r="B204" s="53" t="s">
        <v>278</v>
      </c>
      <c r="N204" s="54"/>
      <c r="O204" s="54"/>
      <c r="P204" s="54"/>
      <c r="Q204" s="54"/>
      <c r="R204" s="54"/>
      <c r="S204" s="54"/>
      <c r="T204" s="54"/>
    </row>
    <row r="205" ht="15.0" customHeight="1">
      <c r="A205" s="54"/>
      <c r="B205" s="54"/>
      <c r="N205" s="54"/>
      <c r="O205" s="54"/>
      <c r="P205" s="54"/>
      <c r="Q205" s="54"/>
      <c r="R205" s="54"/>
      <c r="S205" s="54"/>
      <c r="T205" s="54"/>
    </row>
    <row r="206" ht="15.0" customHeight="1">
      <c r="A206" s="53" t="s">
        <v>279</v>
      </c>
      <c r="B206" s="53" t="s">
        <v>280</v>
      </c>
      <c r="N206" s="54"/>
      <c r="O206" s="54"/>
      <c r="P206" s="54"/>
      <c r="Q206" s="54"/>
      <c r="R206" s="54"/>
      <c r="S206" s="54"/>
      <c r="T206" s="54"/>
    </row>
    <row r="207" ht="15.0" customHeight="1">
      <c r="A207" s="54"/>
      <c r="B207" s="53" t="s">
        <v>281</v>
      </c>
      <c r="N207" s="54"/>
      <c r="O207" s="54"/>
      <c r="P207" s="54"/>
      <c r="Q207" s="54"/>
      <c r="R207" s="54"/>
      <c r="S207" s="54"/>
      <c r="T207" s="54"/>
    </row>
    <row r="208" ht="15.0" customHeight="1">
      <c r="A208" s="54"/>
      <c r="B208" s="53" t="s">
        <v>282</v>
      </c>
      <c r="N208" s="54"/>
      <c r="O208" s="54"/>
      <c r="P208" s="54"/>
      <c r="Q208" s="54"/>
      <c r="R208" s="54"/>
      <c r="S208" s="54"/>
      <c r="T208" s="54"/>
    </row>
    <row r="209" ht="15.0" customHeight="1">
      <c r="A209" s="54"/>
      <c r="B209" s="53" t="s">
        <v>283</v>
      </c>
      <c r="N209" s="54"/>
      <c r="O209" s="54"/>
      <c r="P209" s="54"/>
      <c r="Q209" s="54"/>
      <c r="R209" s="54"/>
      <c r="S209" s="54"/>
      <c r="T209" s="54"/>
    </row>
    <row r="210" ht="15.0" customHeight="1">
      <c r="A210" s="54"/>
      <c r="B210" s="53" t="s">
        <v>284</v>
      </c>
      <c r="N210" s="54"/>
      <c r="O210" s="54"/>
      <c r="P210" s="54"/>
      <c r="Q210" s="54"/>
      <c r="R210" s="54"/>
      <c r="S210" s="54"/>
      <c r="T210" s="54"/>
    </row>
    <row r="211" ht="15.0" customHeight="1">
      <c r="A211" s="54"/>
      <c r="B211" s="53" t="s">
        <v>285</v>
      </c>
      <c r="N211" s="54"/>
      <c r="O211" s="54"/>
      <c r="P211" s="54"/>
      <c r="Q211" s="54"/>
      <c r="R211" s="54"/>
      <c r="S211" s="54"/>
      <c r="T211" s="54"/>
    </row>
    <row r="212" ht="15.0" customHeight="1">
      <c r="A212" s="54"/>
      <c r="B212" s="53" t="s">
        <v>286</v>
      </c>
      <c r="N212" s="54"/>
      <c r="O212" s="54"/>
      <c r="P212" s="54"/>
      <c r="Q212" s="54"/>
      <c r="R212" s="54"/>
      <c r="S212" s="54"/>
      <c r="T212" s="54"/>
    </row>
    <row r="213" ht="15.0" customHeight="1">
      <c r="A213" s="54"/>
      <c r="B213" s="53" t="s">
        <v>287</v>
      </c>
      <c r="N213" s="54"/>
      <c r="O213" s="54"/>
      <c r="P213" s="54"/>
      <c r="Q213" s="54"/>
      <c r="R213" s="54"/>
      <c r="S213" s="54"/>
      <c r="T213" s="54"/>
    </row>
    <row r="214" ht="15.0" customHeight="1">
      <c r="A214" s="54"/>
      <c r="B214" s="53" t="s">
        <v>288</v>
      </c>
      <c r="N214" s="54"/>
      <c r="O214" s="54"/>
      <c r="P214" s="54"/>
      <c r="Q214" s="54"/>
      <c r="R214" s="54"/>
      <c r="S214" s="54"/>
      <c r="T214" s="54"/>
    </row>
    <row r="215" ht="15.0" customHeight="1">
      <c r="A215" s="54"/>
      <c r="B215" s="54"/>
      <c r="N215" s="54"/>
      <c r="O215" s="54"/>
      <c r="P215" s="54"/>
      <c r="Q215" s="54"/>
      <c r="R215" s="54"/>
      <c r="S215" s="54"/>
      <c r="T215" s="54"/>
    </row>
    <row r="216" ht="15.0" customHeight="1">
      <c r="A216" s="53" t="s">
        <v>289</v>
      </c>
      <c r="B216" s="53" t="s">
        <v>290</v>
      </c>
      <c r="N216" s="54"/>
      <c r="O216" s="54"/>
      <c r="P216" s="54"/>
      <c r="Q216" s="54"/>
      <c r="R216" s="54"/>
      <c r="S216" s="54"/>
      <c r="T216" s="54"/>
    </row>
    <row r="217" ht="15.0" customHeight="1">
      <c r="A217" s="54"/>
      <c r="B217" s="53" t="s">
        <v>291</v>
      </c>
      <c r="N217" s="54"/>
      <c r="O217" s="54"/>
      <c r="P217" s="54"/>
      <c r="Q217" s="54"/>
      <c r="R217" s="54"/>
      <c r="S217" s="54"/>
      <c r="T217" s="54"/>
    </row>
    <row r="218" ht="15.0" customHeight="1">
      <c r="A218" s="54"/>
      <c r="B218" s="53" t="s">
        <v>292</v>
      </c>
      <c r="N218" s="54"/>
      <c r="O218" s="54"/>
      <c r="P218" s="54"/>
      <c r="Q218" s="54"/>
      <c r="R218" s="54"/>
      <c r="S218" s="54"/>
      <c r="T218" s="54"/>
    </row>
    <row r="219" ht="15.0" customHeight="1">
      <c r="A219" s="54"/>
      <c r="B219" s="53" t="s">
        <v>293</v>
      </c>
      <c r="N219" s="54"/>
      <c r="O219" s="54"/>
      <c r="P219" s="54"/>
      <c r="Q219" s="54"/>
      <c r="R219" s="54"/>
      <c r="S219" s="54"/>
      <c r="T219" s="54"/>
    </row>
    <row r="220" ht="15.0" customHeight="1">
      <c r="A220" s="54"/>
      <c r="B220" s="53" t="s">
        <v>294</v>
      </c>
      <c r="N220" s="54"/>
      <c r="O220" s="54"/>
      <c r="P220" s="54"/>
      <c r="Q220" s="54"/>
      <c r="R220" s="54"/>
      <c r="S220" s="54"/>
      <c r="T220" s="54"/>
    </row>
    <row r="221" ht="15.0" customHeight="1">
      <c r="A221" s="54"/>
      <c r="B221" s="53" t="s">
        <v>295</v>
      </c>
      <c r="N221" s="54"/>
      <c r="O221" s="54"/>
      <c r="P221" s="54"/>
      <c r="Q221" s="54"/>
      <c r="R221" s="54"/>
      <c r="S221" s="54"/>
      <c r="T221" s="54"/>
    </row>
    <row r="222" ht="15.0" customHeight="1">
      <c r="A222" s="54"/>
      <c r="B222" s="53" t="s">
        <v>296</v>
      </c>
      <c r="N222" s="54"/>
      <c r="O222" s="54"/>
      <c r="P222" s="54"/>
      <c r="Q222" s="54"/>
      <c r="R222" s="54"/>
      <c r="S222" s="54"/>
      <c r="T222" s="54"/>
    </row>
    <row r="223" ht="15.0" customHeight="1">
      <c r="A223" s="54"/>
      <c r="B223" s="53" t="s">
        <v>297</v>
      </c>
      <c r="N223" s="54"/>
      <c r="O223" s="54"/>
      <c r="P223" s="54"/>
      <c r="Q223" s="54"/>
      <c r="R223" s="54"/>
      <c r="S223" s="54"/>
      <c r="T223" s="54"/>
    </row>
    <row r="224" ht="15.0" customHeight="1">
      <c r="A224" s="54"/>
      <c r="B224" s="53" t="s">
        <v>298</v>
      </c>
      <c r="N224" s="54"/>
      <c r="O224" s="54"/>
      <c r="P224" s="54"/>
      <c r="Q224" s="54"/>
      <c r="R224" s="54"/>
      <c r="S224" s="54"/>
      <c r="T224" s="54"/>
    </row>
    <row r="225" ht="15.0" customHeight="1">
      <c r="A225" s="54"/>
      <c r="B225" s="53" t="s">
        <v>299</v>
      </c>
      <c r="N225" s="54"/>
      <c r="O225" s="54"/>
      <c r="P225" s="54"/>
      <c r="Q225" s="54"/>
      <c r="R225" s="54"/>
      <c r="S225" s="54"/>
      <c r="T225" s="54"/>
    </row>
    <row r="226" ht="15.0" customHeight="1">
      <c r="A226" s="54"/>
      <c r="B226" s="53" t="s">
        <v>300</v>
      </c>
      <c r="N226" s="54"/>
      <c r="O226" s="54"/>
      <c r="P226" s="54"/>
      <c r="Q226" s="54"/>
      <c r="R226" s="54"/>
      <c r="S226" s="54"/>
      <c r="T226" s="54"/>
    </row>
    <row r="227" ht="15.0" customHeight="1">
      <c r="A227" s="54"/>
      <c r="B227" s="53" t="s">
        <v>301</v>
      </c>
      <c r="N227" s="54"/>
      <c r="O227" s="54"/>
      <c r="P227" s="54"/>
      <c r="Q227" s="54"/>
      <c r="R227" s="54"/>
      <c r="S227" s="54"/>
      <c r="T227" s="54"/>
    </row>
    <row r="228" ht="15.0" customHeight="1">
      <c r="A228" s="54"/>
      <c r="B228" s="53" t="s">
        <v>302</v>
      </c>
      <c r="N228" s="54"/>
      <c r="O228" s="54"/>
      <c r="P228" s="54"/>
      <c r="Q228" s="54"/>
      <c r="R228" s="54"/>
      <c r="S228" s="54"/>
      <c r="T228" s="54"/>
    </row>
    <row r="229" ht="15.0" customHeight="1">
      <c r="A229" s="54"/>
      <c r="B229" s="53" t="s">
        <v>303</v>
      </c>
      <c r="N229" s="54"/>
      <c r="O229" s="54"/>
      <c r="P229" s="54"/>
      <c r="Q229" s="54"/>
      <c r="R229" s="54"/>
      <c r="S229" s="54"/>
      <c r="T229" s="54"/>
    </row>
    <row r="230" ht="15.0" customHeight="1">
      <c r="A230" s="54"/>
      <c r="B230" s="53" t="s">
        <v>304</v>
      </c>
      <c r="N230" s="54"/>
      <c r="O230" s="54"/>
      <c r="P230" s="54"/>
      <c r="Q230" s="54"/>
      <c r="R230" s="54"/>
      <c r="S230" s="54"/>
      <c r="T230" s="54"/>
    </row>
    <row r="231" ht="15.0" customHeight="1">
      <c r="A231" s="54"/>
      <c r="B231" s="53" t="s">
        <v>305</v>
      </c>
      <c r="N231" s="54"/>
      <c r="O231" s="54"/>
      <c r="P231" s="54"/>
      <c r="Q231" s="54"/>
      <c r="R231" s="54"/>
      <c r="S231" s="54"/>
      <c r="T231" s="54"/>
    </row>
    <row r="232" ht="15.0" customHeight="1">
      <c r="A232" s="54"/>
      <c r="B232" s="53" t="s">
        <v>306</v>
      </c>
      <c r="N232" s="54"/>
      <c r="O232" s="54"/>
      <c r="P232" s="54"/>
      <c r="Q232" s="54"/>
      <c r="R232" s="54"/>
      <c r="S232" s="54"/>
      <c r="T232" s="54"/>
    </row>
    <row r="233" ht="15.0" customHeight="1">
      <c r="A233" s="54"/>
      <c r="B233" s="53" t="s">
        <v>307</v>
      </c>
      <c r="N233" s="54"/>
      <c r="O233" s="54"/>
      <c r="P233" s="54"/>
      <c r="Q233" s="54"/>
      <c r="R233" s="54"/>
      <c r="S233" s="54"/>
      <c r="T233" s="54"/>
    </row>
    <row r="234" ht="15.0" customHeight="1">
      <c r="A234" s="54"/>
      <c r="B234" s="53" t="s">
        <v>308</v>
      </c>
      <c r="N234" s="54"/>
      <c r="O234" s="54"/>
      <c r="P234" s="54"/>
      <c r="Q234" s="54"/>
      <c r="R234" s="54"/>
      <c r="S234" s="54"/>
      <c r="T234" s="54"/>
    </row>
    <row r="235" ht="15.0" customHeight="1">
      <c r="A235" s="54"/>
      <c r="B235" s="53" t="s">
        <v>309</v>
      </c>
      <c r="N235" s="54"/>
      <c r="O235" s="54"/>
      <c r="P235" s="54"/>
      <c r="Q235" s="54"/>
      <c r="R235" s="54"/>
      <c r="S235" s="54"/>
      <c r="T235" s="54"/>
    </row>
    <row r="236" ht="15.0" customHeight="1">
      <c r="A236" s="54"/>
      <c r="B236" s="54"/>
      <c r="N236" s="54"/>
      <c r="O236" s="54"/>
      <c r="P236" s="54"/>
      <c r="Q236" s="54"/>
      <c r="R236" s="54"/>
      <c r="S236" s="54"/>
      <c r="T236" s="54"/>
    </row>
    <row r="237" ht="15.0" customHeight="1">
      <c r="A237" s="53" t="s">
        <v>310</v>
      </c>
      <c r="B237" s="53" t="s">
        <v>311</v>
      </c>
      <c r="N237" s="54"/>
      <c r="O237" s="54"/>
      <c r="P237" s="54"/>
      <c r="Q237" s="54"/>
      <c r="R237" s="54"/>
      <c r="S237" s="54"/>
      <c r="T237" s="54"/>
    </row>
    <row r="238" ht="15.0" customHeight="1">
      <c r="A238" s="54"/>
      <c r="B238" s="53" t="s">
        <v>312</v>
      </c>
      <c r="N238" s="54"/>
      <c r="O238" s="54"/>
      <c r="P238" s="54"/>
      <c r="Q238" s="54"/>
      <c r="R238" s="54"/>
      <c r="S238" s="54"/>
      <c r="T238" s="54"/>
    </row>
    <row r="239" ht="15.0" customHeight="1">
      <c r="A239" s="54"/>
      <c r="B239" s="53" t="s">
        <v>313</v>
      </c>
      <c r="N239" s="54"/>
      <c r="O239" s="54"/>
      <c r="P239" s="54"/>
      <c r="Q239" s="54"/>
      <c r="R239" s="54"/>
      <c r="S239" s="54"/>
      <c r="T239" s="54"/>
    </row>
    <row r="240" ht="15.0" customHeight="1">
      <c r="A240" s="54"/>
      <c r="B240" s="53" t="s">
        <v>314</v>
      </c>
      <c r="N240" s="54"/>
      <c r="O240" s="54"/>
      <c r="P240" s="54"/>
      <c r="Q240" s="54"/>
      <c r="R240" s="54"/>
      <c r="S240" s="54"/>
      <c r="T240" s="54"/>
    </row>
    <row r="241" ht="15.0" customHeight="1">
      <c r="A241" s="54"/>
      <c r="B241" s="53" t="s">
        <v>315</v>
      </c>
      <c r="N241" s="54"/>
      <c r="O241" s="54"/>
      <c r="P241" s="54"/>
      <c r="Q241" s="54"/>
      <c r="R241" s="54"/>
      <c r="S241" s="54"/>
      <c r="T241" s="54"/>
    </row>
    <row r="242" ht="15.0" customHeight="1">
      <c r="A242" s="54"/>
      <c r="B242" s="53" t="s">
        <v>316</v>
      </c>
      <c r="N242" s="54"/>
      <c r="O242" s="54"/>
      <c r="P242" s="54"/>
      <c r="Q242" s="54"/>
      <c r="R242" s="54"/>
      <c r="S242" s="54"/>
      <c r="T242" s="54"/>
    </row>
    <row r="243" ht="15.0" customHeight="1">
      <c r="A243" s="54"/>
      <c r="B243" s="53" t="s">
        <v>317</v>
      </c>
      <c r="N243" s="54"/>
      <c r="O243" s="54"/>
      <c r="P243" s="54"/>
      <c r="Q243" s="54"/>
      <c r="R243" s="54"/>
      <c r="S243" s="54"/>
      <c r="T243" s="54"/>
    </row>
    <row r="244" ht="15.0" customHeight="1">
      <c r="A244" s="54"/>
      <c r="B244" s="53" t="s">
        <v>318</v>
      </c>
      <c r="N244" s="54"/>
      <c r="O244" s="54"/>
      <c r="P244" s="54"/>
      <c r="Q244" s="54"/>
      <c r="R244" s="54"/>
      <c r="S244" s="54"/>
      <c r="T244" s="54"/>
    </row>
    <row r="245" ht="15.0" customHeight="1">
      <c r="A245" s="54"/>
      <c r="B245" s="53" t="s">
        <v>319</v>
      </c>
      <c r="N245" s="54"/>
      <c r="O245" s="54"/>
      <c r="P245" s="54"/>
      <c r="Q245" s="54"/>
      <c r="R245" s="54"/>
      <c r="S245" s="54"/>
      <c r="T245" s="54"/>
    </row>
    <row r="246" ht="15.0" customHeight="1">
      <c r="A246" s="54"/>
      <c r="B246" s="53" t="s">
        <v>320</v>
      </c>
      <c r="N246" s="54"/>
      <c r="O246" s="54"/>
      <c r="P246" s="54"/>
      <c r="Q246" s="54"/>
      <c r="R246" s="54"/>
      <c r="S246" s="54"/>
      <c r="T246" s="54"/>
    </row>
    <row r="247" ht="15.0" customHeight="1">
      <c r="A247" s="54"/>
      <c r="B247" s="53" t="s">
        <v>321</v>
      </c>
      <c r="N247" s="54"/>
      <c r="O247" s="54"/>
      <c r="P247" s="54"/>
      <c r="Q247" s="54"/>
      <c r="R247" s="54"/>
      <c r="S247" s="54"/>
      <c r="T247" s="54"/>
    </row>
    <row r="248" ht="15.0" customHeight="1">
      <c r="A248" s="54"/>
      <c r="B248" s="53" t="s">
        <v>322</v>
      </c>
      <c r="N248" s="54"/>
      <c r="O248" s="54"/>
      <c r="P248" s="54"/>
      <c r="Q248" s="54"/>
      <c r="R248" s="54"/>
      <c r="S248" s="54"/>
      <c r="T248" s="54"/>
    </row>
    <row r="249" ht="15.0" customHeight="1">
      <c r="A249" s="54"/>
      <c r="B249" s="53" t="s">
        <v>323</v>
      </c>
      <c r="N249" s="54"/>
      <c r="O249" s="54"/>
      <c r="P249" s="54"/>
      <c r="Q249" s="54"/>
      <c r="R249" s="54"/>
      <c r="S249" s="54"/>
      <c r="T249" s="54"/>
    </row>
    <row r="250" ht="15.0" customHeight="1">
      <c r="A250" s="54"/>
      <c r="B250" s="53" t="s">
        <v>324</v>
      </c>
      <c r="N250" s="54"/>
      <c r="O250" s="54"/>
      <c r="P250" s="54"/>
      <c r="Q250" s="54"/>
      <c r="R250" s="54"/>
      <c r="S250" s="54"/>
      <c r="T250" s="54"/>
    </row>
    <row r="251" ht="15.0" customHeight="1">
      <c r="A251" s="54"/>
      <c r="B251" s="53" t="s">
        <v>325</v>
      </c>
      <c r="N251" s="54"/>
      <c r="O251" s="54"/>
      <c r="P251" s="54"/>
      <c r="Q251" s="54"/>
      <c r="R251" s="54"/>
      <c r="S251" s="54"/>
      <c r="T251" s="54"/>
    </row>
    <row r="252" ht="15.0" customHeight="1">
      <c r="A252" s="54"/>
      <c r="B252" s="53" t="s">
        <v>326</v>
      </c>
      <c r="N252" s="54"/>
      <c r="O252" s="54"/>
      <c r="P252" s="54"/>
      <c r="Q252" s="54"/>
      <c r="R252" s="54"/>
      <c r="S252" s="54"/>
      <c r="T252" s="54"/>
    </row>
    <row r="253" ht="15.0" customHeight="1">
      <c r="A253" s="54"/>
      <c r="B253" s="53" t="s">
        <v>327</v>
      </c>
      <c r="N253" s="54"/>
      <c r="O253" s="54"/>
      <c r="P253" s="54"/>
      <c r="Q253" s="54"/>
      <c r="R253" s="54"/>
      <c r="S253" s="54"/>
      <c r="T253" s="54"/>
    </row>
    <row r="254" ht="15.0" customHeight="1">
      <c r="A254" s="54"/>
      <c r="B254" s="53" t="s">
        <v>328</v>
      </c>
      <c r="N254" s="54"/>
      <c r="O254" s="54"/>
      <c r="P254" s="54"/>
      <c r="Q254" s="54"/>
      <c r="R254" s="54"/>
      <c r="S254" s="54"/>
      <c r="T254" s="54"/>
    </row>
    <row r="255" ht="15.0" customHeight="1">
      <c r="A255" s="54"/>
      <c r="B255" s="53" t="s">
        <v>329</v>
      </c>
      <c r="N255" s="54"/>
      <c r="O255" s="54"/>
      <c r="P255" s="54"/>
      <c r="Q255" s="54"/>
      <c r="R255" s="54"/>
      <c r="S255" s="54"/>
      <c r="T255" s="54"/>
    </row>
    <row r="256" ht="15.0" customHeight="1">
      <c r="A256" s="54"/>
      <c r="B256" s="53" t="s">
        <v>330</v>
      </c>
      <c r="N256" s="54"/>
      <c r="O256" s="54"/>
      <c r="P256" s="54"/>
      <c r="Q256" s="54"/>
      <c r="R256" s="54"/>
      <c r="S256" s="54"/>
      <c r="T256" s="54"/>
    </row>
    <row r="257" ht="15.0" customHeight="1">
      <c r="A257" s="54"/>
      <c r="B257" s="53" t="s">
        <v>331</v>
      </c>
      <c r="N257" s="54"/>
      <c r="O257" s="54"/>
      <c r="P257" s="54"/>
      <c r="Q257" s="54"/>
      <c r="R257" s="54"/>
      <c r="S257" s="54"/>
      <c r="T257" s="54"/>
    </row>
    <row r="258" ht="15.0" customHeight="1">
      <c r="A258" s="54"/>
      <c r="B258" s="53" t="s">
        <v>332</v>
      </c>
      <c r="N258" s="54"/>
      <c r="O258" s="54"/>
      <c r="P258" s="54"/>
      <c r="Q258" s="54"/>
      <c r="R258" s="54"/>
      <c r="S258" s="54"/>
      <c r="T258" s="54"/>
    </row>
    <row r="259" ht="15.0" customHeight="1">
      <c r="A259" s="54"/>
      <c r="B259" s="53" t="s">
        <v>333</v>
      </c>
      <c r="N259" s="54"/>
      <c r="O259" s="54"/>
      <c r="P259" s="54"/>
      <c r="Q259" s="54"/>
      <c r="R259" s="54"/>
      <c r="S259" s="54"/>
      <c r="T259" s="54"/>
    </row>
    <row r="260" ht="15.0" customHeight="1">
      <c r="A260" s="54"/>
      <c r="B260" s="53" t="s">
        <v>334</v>
      </c>
      <c r="N260" s="54"/>
      <c r="O260" s="54"/>
      <c r="P260" s="54"/>
      <c r="Q260" s="54"/>
      <c r="R260" s="54"/>
      <c r="S260" s="54"/>
      <c r="T260" s="54"/>
    </row>
    <row r="261" ht="15.0" customHeight="1">
      <c r="A261" s="54"/>
      <c r="B261" s="53" t="s">
        <v>335</v>
      </c>
      <c r="N261" s="54"/>
      <c r="O261" s="54"/>
      <c r="P261" s="54"/>
      <c r="Q261" s="54"/>
      <c r="R261" s="54"/>
      <c r="S261" s="54"/>
      <c r="T261" s="54"/>
    </row>
    <row r="262" ht="15.0" customHeight="1">
      <c r="A262" s="54"/>
      <c r="B262" s="54"/>
      <c r="N262" s="54"/>
      <c r="O262" s="54"/>
      <c r="P262" s="54"/>
      <c r="Q262" s="54"/>
      <c r="R262" s="54"/>
      <c r="S262" s="54"/>
      <c r="T262" s="54"/>
    </row>
  </sheetData>
  <mergeCells count="233">
    <mergeCell ref="A1:S1"/>
    <mergeCell ref="A2:S2"/>
    <mergeCell ref="A3:S3"/>
    <mergeCell ref="B4:F4"/>
    <mergeCell ref="G4:J4"/>
    <mergeCell ref="B5:F5"/>
    <mergeCell ref="G5:J6"/>
    <mergeCell ref="O8:O15"/>
    <mergeCell ref="O17:O24"/>
    <mergeCell ref="S17:S24"/>
    <mergeCell ref="O26:O33"/>
    <mergeCell ref="O35:O42"/>
    <mergeCell ref="G17:G24"/>
    <mergeCell ref="G26:G33"/>
    <mergeCell ref="G35:G42"/>
    <mergeCell ref="G44:G51"/>
    <mergeCell ref="G53:G60"/>
    <mergeCell ref="C26:C33"/>
    <mergeCell ref="C35:C42"/>
    <mergeCell ref="C44:C51"/>
    <mergeCell ref="C53:C60"/>
    <mergeCell ref="B6:F6"/>
    <mergeCell ref="C8:C15"/>
    <mergeCell ref="G8:G15"/>
    <mergeCell ref="K8:K15"/>
    <mergeCell ref="C17:C24"/>
    <mergeCell ref="K17:K24"/>
    <mergeCell ref="K26:K33"/>
    <mergeCell ref="K35:K42"/>
    <mergeCell ref="K44:K51"/>
    <mergeCell ref="K53:K60"/>
    <mergeCell ref="A63:P63"/>
    <mergeCell ref="A64:P64"/>
    <mergeCell ref="A65:P65"/>
    <mergeCell ref="B66:M66"/>
    <mergeCell ref="B67:M67"/>
    <mergeCell ref="B68:M68"/>
    <mergeCell ref="B69:J69"/>
    <mergeCell ref="L69:Q69"/>
    <mergeCell ref="B70:M70"/>
    <mergeCell ref="B71:M71"/>
    <mergeCell ref="B72:M72"/>
    <mergeCell ref="B73:M73"/>
    <mergeCell ref="B74:M74"/>
    <mergeCell ref="B75:M75"/>
    <mergeCell ref="B76:M76"/>
    <mergeCell ref="B77:M77"/>
    <mergeCell ref="B78:M78"/>
    <mergeCell ref="B79:M79"/>
    <mergeCell ref="B80:M80"/>
    <mergeCell ref="A81:M81"/>
    <mergeCell ref="A82:M82"/>
    <mergeCell ref="A83:B83"/>
    <mergeCell ref="C83:M83"/>
    <mergeCell ref="B84:P84"/>
    <mergeCell ref="B85:P85"/>
    <mergeCell ref="B86:P86"/>
    <mergeCell ref="B87:P87"/>
    <mergeCell ref="B88:P88"/>
    <mergeCell ref="B89:P89"/>
    <mergeCell ref="B90:P90"/>
    <mergeCell ref="B91:P91"/>
    <mergeCell ref="B92:P92"/>
    <mergeCell ref="B93:P93"/>
    <mergeCell ref="B94:P94"/>
    <mergeCell ref="B95:P95"/>
    <mergeCell ref="B96:P96"/>
    <mergeCell ref="B97:P97"/>
    <mergeCell ref="B98:P98"/>
    <mergeCell ref="B99:P99"/>
    <mergeCell ref="B100:P100"/>
    <mergeCell ref="B101:P101"/>
    <mergeCell ref="B102:P102"/>
    <mergeCell ref="B103:P103"/>
    <mergeCell ref="B104:P104"/>
    <mergeCell ref="B105:P105"/>
    <mergeCell ref="B106:P106"/>
    <mergeCell ref="B107:P107"/>
    <mergeCell ref="B108:P108"/>
    <mergeCell ref="B109:P109"/>
    <mergeCell ref="B110:P110"/>
    <mergeCell ref="B111:P111"/>
    <mergeCell ref="B112:P112"/>
    <mergeCell ref="B113:P113"/>
    <mergeCell ref="B114:P114"/>
    <mergeCell ref="B115:P115"/>
    <mergeCell ref="B116:P116"/>
    <mergeCell ref="B117:P117"/>
    <mergeCell ref="B118:P118"/>
    <mergeCell ref="B119:P119"/>
    <mergeCell ref="B120:P120"/>
    <mergeCell ref="B121:P121"/>
    <mergeCell ref="B122:P122"/>
    <mergeCell ref="B123:P123"/>
    <mergeCell ref="B124:P124"/>
    <mergeCell ref="B125:P125"/>
    <mergeCell ref="B126:P126"/>
    <mergeCell ref="B127:P127"/>
    <mergeCell ref="B128:P128"/>
    <mergeCell ref="B129:P129"/>
    <mergeCell ref="B130:P130"/>
    <mergeCell ref="B131:P131"/>
    <mergeCell ref="B132:P132"/>
    <mergeCell ref="B133:P133"/>
    <mergeCell ref="B134:P134"/>
    <mergeCell ref="B135:P135"/>
    <mergeCell ref="B136:P136"/>
    <mergeCell ref="B137:P137"/>
    <mergeCell ref="B138:P138"/>
    <mergeCell ref="B139:P139"/>
    <mergeCell ref="B140:P140"/>
    <mergeCell ref="B141:P141"/>
    <mergeCell ref="B142:P142"/>
    <mergeCell ref="B143:P143"/>
    <mergeCell ref="B144:P144"/>
    <mergeCell ref="B145:P145"/>
    <mergeCell ref="B146:P146"/>
    <mergeCell ref="B147:P147"/>
    <mergeCell ref="B148:P148"/>
    <mergeCell ref="B149:P149"/>
    <mergeCell ref="B150:P150"/>
    <mergeCell ref="B151:P151"/>
    <mergeCell ref="B152:P152"/>
    <mergeCell ref="A153:P153"/>
    <mergeCell ref="A154:P154"/>
    <mergeCell ref="A155:P155"/>
    <mergeCell ref="A156:P156"/>
    <mergeCell ref="A157:M157"/>
    <mergeCell ref="B158:M158"/>
    <mergeCell ref="B159:M159"/>
    <mergeCell ref="B160:M160"/>
    <mergeCell ref="B161:M161"/>
    <mergeCell ref="B162:M162"/>
    <mergeCell ref="B163:M163"/>
    <mergeCell ref="B164:M164"/>
    <mergeCell ref="B165:M165"/>
    <mergeCell ref="B166:M166"/>
    <mergeCell ref="B167:M167"/>
    <mergeCell ref="B168:M168"/>
    <mergeCell ref="B169:M169"/>
    <mergeCell ref="B219:M219"/>
    <mergeCell ref="B220:M220"/>
    <mergeCell ref="B221:M221"/>
    <mergeCell ref="B222:M222"/>
    <mergeCell ref="B223:M223"/>
    <mergeCell ref="B224:M224"/>
    <mergeCell ref="B225:M225"/>
    <mergeCell ref="B226:M226"/>
    <mergeCell ref="B227:M227"/>
    <mergeCell ref="B228:M228"/>
    <mergeCell ref="B229:M229"/>
    <mergeCell ref="B230:M230"/>
    <mergeCell ref="B231:M231"/>
    <mergeCell ref="B232:M232"/>
    <mergeCell ref="B233:M233"/>
    <mergeCell ref="B234:M234"/>
    <mergeCell ref="B235:M235"/>
    <mergeCell ref="B236:M236"/>
    <mergeCell ref="B237:M237"/>
    <mergeCell ref="B238:M238"/>
    <mergeCell ref="B239:M239"/>
    <mergeCell ref="B240:M240"/>
    <mergeCell ref="B241:M241"/>
    <mergeCell ref="B242:M242"/>
    <mergeCell ref="B243:M243"/>
    <mergeCell ref="B244:M244"/>
    <mergeCell ref="B245:M245"/>
    <mergeCell ref="B246:M246"/>
    <mergeCell ref="B247:M247"/>
    <mergeCell ref="B248:M248"/>
    <mergeCell ref="B249:M249"/>
    <mergeCell ref="B250:M250"/>
    <mergeCell ref="B251:M251"/>
    <mergeCell ref="B252:M252"/>
    <mergeCell ref="B253:M253"/>
    <mergeCell ref="B261:M261"/>
    <mergeCell ref="B262:M262"/>
    <mergeCell ref="B254:M254"/>
    <mergeCell ref="B255:M255"/>
    <mergeCell ref="B256:M256"/>
    <mergeCell ref="B257:M257"/>
    <mergeCell ref="B258:M258"/>
    <mergeCell ref="B259:M259"/>
    <mergeCell ref="B260:M260"/>
    <mergeCell ref="B170:M170"/>
    <mergeCell ref="B171:M171"/>
    <mergeCell ref="B172:M172"/>
    <mergeCell ref="B173:M173"/>
    <mergeCell ref="B174:M174"/>
    <mergeCell ref="B175:M175"/>
    <mergeCell ref="B176:M176"/>
    <mergeCell ref="B177:M177"/>
    <mergeCell ref="B178:M178"/>
    <mergeCell ref="B179:M179"/>
    <mergeCell ref="B180:M180"/>
    <mergeCell ref="B181:M181"/>
    <mergeCell ref="B182:M182"/>
    <mergeCell ref="B183:M183"/>
    <mergeCell ref="B184:M184"/>
    <mergeCell ref="B185:M185"/>
    <mergeCell ref="B186:M186"/>
    <mergeCell ref="B187:M187"/>
    <mergeCell ref="B188:M188"/>
    <mergeCell ref="B189:M189"/>
    <mergeCell ref="B190:M190"/>
    <mergeCell ref="B191:M191"/>
    <mergeCell ref="B192:M192"/>
    <mergeCell ref="B193:M193"/>
    <mergeCell ref="B194:M194"/>
    <mergeCell ref="B195:M195"/>
    <mergeCell ref="B196:M196"/>
    <mergeCell ref="B197:M197"/>
    <mergeCell ref="B198:M198"/>
    <mergeCell ref="B199:M199"/>
    <mergeCell ref="B200:M200"/>
    <mergeCell ref="B201:M201"/>
    <mergeCell ref="B202:M202"/>
    <mergeCell ref="B203:M203"/>
    <mergeCell ref="B204:M204"/>
    <mergeCell ref="B205:M205"/>
    <mergeCell ref="B206:M206"/>
    <mergeCell ref="B207:M207"/>
    <mergeCell ref="B208:M208"/>
    <mergeCell ref="B209:M209"/>
    <mergeCell ref="B210:M210"/>
    <mergeCell ref="B211:M211"/>
    <mergeCell ref="B212:M212"/>
    <mergeCell ref="B213:M213"/>
    <mergeCell ref="B214:M214"/>
    <mergeCell ref="B215:M215"/>
    <mergeCell ref="B216:M216"/>
    <mergeCell ref="B217:M217"/>
    <mergeCell ref="B218:M218"/>
  </mergeCells>
  <hyperlinks>
    <hyperlink r:id="rId1" ref="G5"/>
    <hyperlink r:id="rId2" ref="M5"/>
    <hyperlink r:id="rId3" ref="B71"/>
    <hyperlink r:id="rId4" ref="B72"/>
    <hyperlink r:id="rId5" ref="B74"/>
    <hyperlink r:id="rId6" ref="B79"/>
    <hyperlink r:id="rId7" ref="B80"/>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63"/>
    <col customWidth="1" min="2" max="5" width="8.75"/>
    <col customWidth="1" min="6" max="6" width="19.13"/>
    <col customWidth="1" min="7" max="10" width="8.75"/>
    <col customWidth="1" min="11" max="11" width="18.75"/>
    <col customWidth="1" min="12" max="15" width="8.75"/>
    <col customWidth="1" min="16" max="16" width="22.5"/>
    <col customWidth="1" min="17" max="20" width="8.75"/>
    <col customWidth="1" min="21" max="21" width="20.63"/>
    <col customWidth="1" min="22" max="25" width="8.75"/>
  </cols>
  <sheetData>
    <row r="1" ht="33.0" customHeight="1">
      <c r="A1" s="66" t="str">
        <f>Barb!A1</f>
        <v>- OUTDATED -
</v>
      </c>
    </row>
    <row r="2" ht="33.0"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33.0" customHeight="1">
      <c r="A3" s="4"/>
      <c r="B3" s="4"/>
      <c r="C3" s="4"/>
      <c r="D3" s="4"/>
      <c r="E3" s="4"/>
      <c r="F3" s="4"/>
      <c r="G3" s="4"/>
      <c r="H3" s="4"/>
      <c r="I3" s="4"/>
      <c r="J3" s="4"/>
      <c r="K3" s="4"/>
      <c r="L3" s="4"/>
      <c r="M3" s="4"/>
      <c r="N3" s="4"/>
      <c r="O3" s="4"/>
      <c r="P3" s="4"/>
      <c r="Q3" s="4"/>
      <c r="R3" s="4"/>
      <c r="S3" s="4"/>
      <c r="T3" s="4"/>
      <c r="U3" s="4"/>
      <c r="V3" s="4"/>
      <c r="W3" s="4"/>
      <c r="X3" s="4"/>
      <c r="Y3" s="4"/>
    </row>
    <row r="4" ht="33.0" customHeight="1">
      <c r="A4" s="68" t="str">
        <f>Barb!A4</f>
        <v>100% tested (2.0.6)</v>
      </c>
      <c r="B4" s="155" t="str">
        <f>'Barb (PP)'!B4</f>
        <v>Proc Coefficients</v>
      </c>
      <c r="C4" s="7"/>
      <c r="D4" s="7"/>
      <c r="E4" s="7"/>
      <c r="F4" s="8"/>
      <c r="G4" s="70" t="str">
        <f>Barb!G4</f>
        <v>Downloadable Sheet:</v>
      </c>
      <c r="H4" s="7"/>
      <c r="I4" s="7"/>
      <c r="J4" s="8"/>
      <c r="K4" s="71"/>
      <c r="L4" s="10"/>
      <c r="M4" s="10"/>
      <c r="N4" s="10"/>
      <c r="O4" s="10"/>
      <c r="P4" s="10"/>
      <c r="Q4" s="10"/>
      <c r="R4" s="10"/>
      <c r="S4" s="12"/>
      <c r="T4" s="12"/>
      <c r="U4" s="12"/>
      <c r="V4" s="12"/>
      <c r="W4" s="12"/>
      <c r="X4" s="12"/>
      <c r="Y4" s="12"/>
    </row>
    <row r="5" ht="15.75" customHeight="1">
      <c r="A5" s="156" t="str">
        <f>Barb!A5</f>
        <v>Updated: 7/10/14</v>
      </c>
      <c r="B5" s="157" t="str">
        <f>'Barb (PP)'!B5</f>
        <v>(per second)</v>
      </c>
      <c r="C5" s="7"/>
      <c r="D5" s="7"/>
      <c r="E5" s="7"/>
      <c r="F5" s="8"/>
      <c r="G5" s="74" t="s">
        <v>8</v>
      </c>
      <c r="H5" s="17"/>
      <c r="I5" s="17"/>
      <c r="J5" s="17"/>
      <c r="K5" s="18"/>
      <c r="L5" s="158"/>
      <c r="M5" s="159"/>
      <c r="N5" s="10"/>
      <c r="O5" s="10"/>
      <c r="P5" s="10"/>
      <c r="Q5" s="10"/>
      <c r="R5" s="10"/>
      <c r="S5" s="12"/>
      <c r="T5" s="12"/>
      <c r="U5" s="12"/>
      <c r="V5" s="12"/>
      <c r="W5" s="12"/>
      <c r="X5" s="12"/>
      <c r="Y5" s="12"/>
    </row>
    <row r="6" ht="32.25" customHeight="1">
      <c r="A6" s="160" t="str">
        <f>'Barb (PP)'!A6</f>
        <v>S/E = skill/effect procs</v>
      </c>
      <c r="B6" s="206" t="s">
        <v>792</v>
      </c>
      <c r="C6" s="7"/>
      <c r="D6" s="7"/>
      <c r="E6" s="7"/>
      <c r="F6" s="8"/>
      <c r="G6" s="23"/>
      <c r="H6" s="4"/>
      <c r="I6" s="4"/>
      <c r="J6" s="4"/>
      <c r="K6" s="24"/>
      <c r="L6" s="158"/>
      <c r="M6" s="159"/>
      <c r="N6" s="10"/>
      <c r="O6" s="10"/>
      <c r="P6" s="10"/>
      <c r="Q6" s="10"/>
      <c r="R6" s="10"/>
      <c r="S6" s="12"/>
      <c r="T6" s="12"/>
      <c r="U6" s="12"/>
      <c r="V6" s="12"/>
      <c r="W6" s="12"/>
      <c r="X6" s="12"/>
      <c r="Y6" s="12"/>
    </row>
    <row r="7" ht="15.0" customHeight="1">
      <c r="A7" s="10"/>
      <c r="B7" s="26"/>
      <c r="C7" s="26"/>
      <c r="D7" s="26"/>
      <c r="E7" s="10"/>
      <c r="F7" s="10"/>
      <c r="G7" s="26"/>
      <c r="H7" s="26"/>
      <c r="I7" s="26"/>
      <c r="J7" s="10"/>
      <c r="K7" s="10"/>
      <c r="L7" s="26"/>
      <c r="M7" s="26"/>
      <c r="N7" s="26"/>
      <c r="O7" s="10"/>
      <c r="P7" s="10"/>
      <c r="Q7" s="26"/>
      <c r="R7" s="26"/>
      <c r="S7" s="27"/>
      <c r="T7" s="12"/>
      <c r="U7" s="12"/>
      <c r="V7" s="12"/>
      <c r="W7" s="12"/>
      <c r="X7" s="12"/>
      <c r="Y7" s="12"/>
    </row>
    <row r="8" ht="15.0" customHeight="1">
      <c r="A8" s="28"/>
      <c r="B8" s="29" t="s">
        <v>338</v>
      </c>
      <c r="C8" s="29" t="s">
        <v>339</v>
      </c>
      <c r="D8" s="30" t="s">
        <v>794</v>
      </c>
      <c r="E8" s="31"/>
      <c r="F8" s="28"/>
      <c r="G8" s="29" t="s">
        <v>338</v>
      </c>
      <c r="H8" s="29" t="s">
        <v>339</v>
      </c>
      <c r="I8" s="30" t="s">
        <v>795</v>
      </c>
      <c r="J8" s="31"/>
      <c r="K8" s="28"/>
      <c r="L8" s="29" t="s">
        <v>338</v>
      </c>
      <c r="M8" s="29" t="s">
        <v>339</v>
      </c>
      <c r="N8" s="30" t="s">
        <v>796</v>
      </c>
      <c r="O8" s="31"/>
      <c r="P8" s="28"/>
      <c r="Q8" s="29" t="s">
        <v>338</v>
      </c>
      <c r="R8" s="29" t="s">
        <v>339</v>
      </c>
      <c r="S8" s="43" t="s">
        <v>797</v>
      </c>
      <c r="T8" s="21"/>
      <c r="U8" s="12"/>
      <c r="V8" s="12"/>
      <c r="W8" s="12"/>
      <c r="X8" s="12"/>
      <c r="Y8" s="12"/>
    </row>
    <row r="9" ht="17.25" customHeight="1">
      <c r="A9" s="208" t="s">
        <v>18</v>
      </c>
      <c r="B9" s="217">
        <f t="shared" ref="B9:C9" si="1">AVERAGE(B10:B15)</f>
        <v>1</v>
      </c>
      <c r="C9" s="209">
        <f t="shared" si="1"/>
        <v>0.950617284</v>
      </c>
      <c r="E9" s="31"/>
      <c r="F9" s="208" t="s">
        <v>18</v>
      </c>
      <c r="G9" s="217">
        <f t="shared" ref="G9:H9" si="2">AVERAGE(G10:G15)</f>
        <v>0.4166666667</v>
      </c>
      <c r="H9" s="209">
        <f t="shared" si="2"/>
        <v>0.356731325</v>
      </c>
      <c r="J9" s="31"/>
      <c r="K9" s="208" t="s">
        <v>18</v>
      </c>
      <c r="L9" s="217">
        <f t="shared" ref="L9:M9" si="3">AVERAGE(L10:L15)</f>
        <v>0.6840277778</v>
      </c>
      <c r="M9" s="209">
        <f t="shared" si="3"/>
        <v>0.6377776707</v>
      </c>
      <c r="O9" s="31"/>
      <c r="P9" s="208" t="s">
        <v>18</v>
      </c>
      <c r="Q9" s="217">
        <f t="shared" ref="Q9:R9" si="4">AVERAGE(Q10:Q15)</f>
        <v>0.2759259259</v>
      </c>
      <c r="R9" s="209">
        <f t="shared" si="4"/>
        <v>0.2708116486</v>
      </c>
      <c r="T9" s="21"/>
      <c r="U9" s="12"/>
      <c r="V9" s="12"/>
      <c r="W9" s="12"/>
      <c r="X9" s="12"/>
      <c r="Y9" s="12"/>
    </row>
    <row r="10" ht="15.0" customHeight="1">
      <c r="A10" s="210" t="s">
        <v>19</v>
      </c>
      <c r="B10" s="218">
        <f>'Witch Doctor'!B10*1</f>
        <v>1</v>
      </c>
      <c r="C10" s="212">
        <f>1-(1-'Witch Doctor'!B10)^1</f>
        <v>1</v>
      </c>
      <c r="E10" s="31"/>
      <c r="F10" s="210" t="s">
        <v>19</v>
      </c>
      <c r="G10" s="218">
        <f>'Witch Doctor'!F10*4</f>
        <v>0.44</v>
      </c>
      <c r="H10" s="212">
        <f>1-(1-'Witch Doctor'!F10)^4</f>
        <v>0.37257759</v>
      </c>
      <c r="J10" s="31"/>
      <c r="K10" s="210" t="s">
        <v>19</v>
      </c>
      <c r="L10" s="218">
        <f>'Witch Doctor'!J10*1</f>
        <v>0.6666666667</v>
      </c>
      <c r="M10" s="212">
        <f>1-(1-'Witch Doctor'!J10)^1</f>
        <v>0.6666666667</v>
      </c>
      <c r="O10" s="31"/>
      <c r="P10" s="210" t="s">
        <v>19</v>
      </c>
      <c r="Q10" s="218">
        <f>'Witch Doctor'!N10*1</f>
        <v>0.6666666667</v>
      </c>
      <c r="R10" s="212">
        <f>1-(1-'Witch Doctor'!N10)^1</f>
        <v>0.6666666667</v>
      </c>
      <c r="T10" s="21"/>
      <c r="U10" s="12"/>
      <c r="V10" s="12"/>
      <c r="W10" s="12"/>
      <c r="X10" s="12"/>
      <c r="Y10" s="12"/>
    </row>
    <row r="11" ht="15.0" customHeight="1">
      <c r="A11" s="213" t="s">
        <v>798</v>
      </c>
      <c r="B11" s="219">
        <f>'Witch Doctor'!B11*3</f>
        <v>1</v>
      </c>
      <c r="C11" s="214">
        <f>1-(1-'Witch Doctor'!B11)^3</f>
        <v>0.7037037037</v>
      </c>
      <c r="E11" s="31"/>
      <c r="F11" s="213" t="s">
        <v>799</v>
      </c>
      <c r="G11" s="219">
        <f>'Witch Doctor'!F11*4</f>
        <v>0.44</v>
      </c>
      <c r="H11" s="214">
        <f>1-(1-'Witch Doctor'!F11)^4</f>
        <v>0.37257759</v>
      </c>
      <c r="J11" s="31"/>
      <c r="K11" s="213" t="s">
        <v>800</v>
      </c>
      <c r="L11" s="219">
        <f>'Witch Doctor'!J11*1</f>
        <v>0.6666666667</v>
      </c>
      <c r="M11" s="214">
        <f>1-(1-'Witch Doctor'!J11)^1</f>
        <v>0.6666666667</v>
      </c>
      <c r="O11" s="31"/>
      <c r="P11" s="213" t="s">
        <v>801</v>
      </c>
      <c r="Q11" s="219">
        <f>'Witch Doctor'!N11*1</f>
        <v>0.2</v>
      </c>
      <c r="R11" s="214">
        <f>1-(1-'Witch Doctor'!N11)^1</f>
        <v>0.2</v>
      </c>
      <c r="T11" s="21"/>
      <c r="U11" s="12"/>
      <c r="V11" s="12"/>
      <c r="W11" s="12"/>
      <c r="X11" s="12"/>
      <c r="Y11" s="12"/>
    </row>
    <row r="12" ht="15.0" customHeight="1">
      <c r="A12" s="215" t="s">
        <v>802</v>
      </c>
      <c r="B12" s="218">
        <f>'Witch Doctor'!B12*1</f>
        <v>1</v>
      </c>
      <c r="C12" s="212">
        <f>1-(1-'Witch Doctor'!B12)^1</f>
        <v>1</v>
      </c>
      <c r="E12" s="31"/>
      <c r="F12" s="215" t="s">
        <v>803</v>
      </c>
      <c r="G12" s="218">
        <f>'Witch Doctor'!F12*2</f>
        <v>0.3</v>
      </c>
      <c r="H12" s="212">
        <f>1-(1-'Witch Doctor'!F12)^2</f>
        <v>0.2775</v>
      </c>
      <c r="J12" s="31"/>
      <c r="K12" s="215" t="s">
        <v>804</v>
      </c>
      <c r="L12" s="218">
        <f>'Witch Doctor'!J12*1</f>
        <v>0.5</v>
      </c>
      <c r="M12" s="212">
        <f>1-(1-'Witch Doctor'!J12)^1</f>
        <v>0.5</v>
      </c>
      <c r="O12" s="31"/>
      <c r="P12" s="215" t="s">
        <v>805</v>
      </c>
      <c r="Q12" s="218">
        <f>'Witch Doctor'!N12*1</f>
        <v>0.2222222222</v>
      </c>
      <c r="R12" s="212">
        <f>1-(1-'Witch Doctor'!N12)^1</f>
        <v>0.2222222222</v>
      </c>
      <c r="T12" s="21"/>
      <c r="U12" s="12"/>
      <c r="V12" s="12"/>
      <c r="W12" s="12"/>
      <c r="X12" s="12"/>
      <c r="Y12" s="12"/>
    </row>
    <row r="13" ht="15.0" customHeight="1">
      <c r="A13" s="213" t="s">
        <v>806</v>
      </c>
      <c r="B13" s="219">
        <f>'Witch Doctor'!B13*1</f>
        <v>1</v>
      </c>
      <c r="C13" s="214">
        <f>1-(1-'Witch Doctor'!B13)^1</f>
        <v>1</v>
      </c>
      <c r="E13" s="31"/>
      <c r="F13" s="213" t="s">
        <v>807</v>
      </c>
      <c r="G13" s="219">
        <f>'Witch Doctor'!F13*4</f>
        <v>0.44</v>
      </c>
      <c r="H13" s="214">
        <f>1-(1-'Witch Doctor'!F13)^4</f>
        <v>0.37257759</v>
      </c>
      <c r="J13" s="31"/>
      <c r="K13" s="213" t="s">
        <v>937</v>
      </c>
      <c r="L13" s="219">
        <f>'Witch Doctor'!J13*2.5*(90/60)</f>
        <v>0.9375</v>
      </c>
      <c r="M13" s="214">
        <f>1-(1-'Witch Doctor'!J13)^(2.5*(90/60))</f>
        <v>0.6599993575</v>
      </c>
      <c r="O13" s="31"/>
      <c r="P13" s="213" t="s">
        <v>938</v>
      </c>
      <c r="Q13" s="219">
        <f>'Witch Doctor'!N13*1.5</f>
        <v>0.1</v>
      </c>
      <c r="R13" s="214">
        <f>1-(1-'Witch Doctor'!N13)^1.5</f>
        <v>0.09831433579</v>
      </c>
      <c r="T13" s="21"/>
      <c r="U13" s="12"/>
      <c r="V13" s="12"/>
      <c r="W13" s="12"/>
      <c r="X13" s="12"/>
      <c r="Y13" s="12"/>
    </row>
    <row r="14" ht="15.0" customHeight="1">
      <c r="A14" s="215" t="s">
        <v>810</v>
      </c>
      <c r="B14" s="218">
        <f>'Witch Doctor'!B14*1</f>
        <v>1</v>
      </c>
      <c r="C14" s="212">
        <f>1-(1-'Witch Doctor'!B14)^1</f>
        <v>1</v>
      </c>
      <c r="E14" s="31"/>
      <c r="F14" s="215" t="s">
        <v>811</v>
      </c>
      <c r="G14" s="218">
        <f>'Witch Doctor'!F14*4</f>
        <v>0.44</v>
      </c>
      <c r="H14" s="212">
        <f>1-(1-'Witch Doctor'!F14)^4</f>
        <v>0.37257759</v>
      </c>
      <c r="J14" s="31"/>
      <c r="K14" s="215" t="s">
        <v>812</v>
      </c>
      <c r="L14" s="218">
        <f>'Witch Doctor'!J14*1</f>
        <v>0.6666666667</v>
      </c>
      <c r="M14" s="212">
        <f>1-(1-'Witch Doctor'!J14)^1</f>
        <v>0.6666666667</v>
      </c>
      <c r="O14" s="31"/>
      <c r="P14" s="215" t="s">
        <v>813</v>
      </c>
      <c r="Q14" s="218">
        <f>'Witch Doctor'!N14*3</f>
        <v>0.3</v>
      </c>
      <c r="R14" s="212">
        <f>1-(1-'Witch Doctor'!N14)^3</f>
        <v>0.271</v>
      </c>
      <c r="T14" s="21"/>
      <c r="U14" s="12"/>
      <c r="V14" s="12"/>
      <c r="W14" s="12"/>
      <c r="X14" s="12"/>
      <c r="Y14" s="12"/>
    </row>
    <row r="15" ht="15.0" customHeight="1">
      <c r="A15" s="213" t="s">
        <v>814</v>
      </c>
      <c r="B15" s="219">
        <f>'Witch Doctor'!B15*1</f>
        <v>1</v>
      </c>
      <c r="C15" s="214">
        <f>1-(1-'Witch Doctor'!B15)^1</f>
        <v>1</v>
      </c>
      <c r="E15" s="31"/>
      <c r="F15" s="213" t="s">
        <v>815</v>
      </c>
      <c r="G15" s="219">
        <f>'Witch Doctor'!F15*4</f>
        <v>0.44</v>
      </c>
      <c r="H15" s="214">
        <f>1-(1-'Witch Doctor'!F15)^4</f>
        <v>0.37257759</v>
      </c>
      <c r="J15" s="31"/>
      <c r="K15" s="213" t="s">
        <v>816</v>
      </c>
      <c r="L15" s="219">
        <f>'Witch Doctor'!J15*1</f>
        <v>0.6666666667</v>
      </c>
      <c r="M15" s="214">
        <f>1-(1-'Witch Doctor'!J15)^1</f>
        <v>0.6666666667</v>
      </c>
      <c r="O15" s="31"/>
      <c r="P15" s="213" t="s">
        <v>817</v>
      </c>
      <c r="Q15" s="219">
        <f>'Witch Doctor'!N15*1</f>
        <v>0.1666666667</v>
      </c>
      <c r="R15" s="214">
        <f>1-(1-'Witch Doctor'!N15)^1</f>
        <v>0.1666666667</v>
      </c>
      <c r="T15" s="21"/>
      <c r="U15" s="12"/>
      <c r="V15" s="12"/>
      <c r="W15" s="12"/>
      <c r="X15" s="12"/>
      <c r="Y15" s="12"/>
    </row>
    <row r="16" ht="15.0" customHeight="1">
      <c r="A16" s="10"/>
      <c r="B16" s="26"/>
      <c r="C16" s="26"/>
      <c r="D16" s="41"/>
      <c r="E16" s="10"/>
      <c r="F16" s="10"/>
      <c r="G16" s="26"/>
      <c r="H16" s="26"/>
      <c r="I16" s="41"/>
      <c r="J16" s="10"/>
      <c r="K16" s="10"/>
      <c r="L16" s="26"/>
      <c r="M16" s="26"/>
      <c r="N16" s="41"/>
      <c r="O16" s="10"/>
      <c r="P16" s="10"/>
      <c r="Q16" s="26"/>
      <c r="R16" s="26"/>
      <c r="S16" s="42"/>
      <c r="T16" s="12"/>
      <c r="U16" s="12"/>
      <c r="V16" s="12"/>
      <c r="W16" s="12"/>
      <c r="X16" s="12"/>
      <c r="Y16" s="12"/>
    </row>
    <row r="17" ht="15.75" customHeight="1">
      <c r="A17" s="28"/>
      <c r="B17" s="29" t="s">
        <v>338</v>
      </c>
      <c r="C17" s="29" t="s">
        <v>339</v>
      </c>
      <c r="D17" s="30" t="s">
        <v>818</v>
      </c>
      <c r="E17" s="31"/>
      <c r="F17" s="28"/>
      <c r="G17" s="29" t="s">
        <v>338</v>
      </c>
      <c r="H17" s="29" t="s">
        <v>339</v>
      </c>
      <c r="I17" s="30" t="s">
        <v>819</v>
      </c>
      <c r="J17" s="31"/>
      <c r="K17" s="28"/>
      <c r="L17" s="29" t="s">
        <v>338</v>
      </c>
      <c r="M17" s="29" t="s">
        <v>339</v>
      </c>
      <c r="N17" s="30" t="s">
        <v>939</v>
      </c>
      <c r="O17" s="31"/>
      <c r="P17" s="28"/>
      <c r="Q17" s="29" t="s">
        <v>338</v>
      </c>
      <c r="R17" s="29" t="s">
        <v>339</v>
      </c>
      <c r="S17" s="43" t="s">
        <v>940</v>
      </c>
      <c r="T17" s="21"/>
      <c r="U17" s="12"/>
      <c r="V17" s="12"/>
      <c r="W17" s="12"/>
      <c r="X17" s="12"/>
      <c r="Y17" s="12"/>
    </row>
    <row r="18" ht="17.25" customHeight="1">
      <c r="A18" s="208" t="s">
        <v>18</v>
      </c>
      <c r="B18" s="217">
        <f t="shared" ref="B18:C18" si="5">AVERAGE(B19:B24)</f>
        <v>0.14</v>
      </c>
      <c r="C18" s="209">
        <f t="shared" si="5"/>
        <v>0.1351</v>
      </c>
      <c r="E18" s="31"/>
      <c r="F18" s="208" t="s">
        <v>18</v>
      </c>
      <c r="G18" s="217">
        <f t="shared" ref="G18:H18" si="6">AVERAGE(G19:G24)</f>
        <v>0.4722222222</v>
      </c>
      <c r="H18" s="209">
        <f t="shared" si="6"/>
        <v>0.40625</v>
      </c>
      <c r="J18" s="31"/>
      <c r="K18" s="208" t="s">
        <v>18</v>
      </c>
      <c r="L18" s="217">
        <f t="shared" ref="L18:M18" si="7">AVERAGE(L19:L24)</f>
        <v>1</v>
      </c>
      <c r="M18" s="209">
        <f t="shared" si="7"/>
        <v>1</v>
      </c>
      <c r="O18" s="31"/>
      <c r="P18" s="208" t="s">
        <v>18</v>
      </c>
      <c r="Q18" s="217">
        <f t="shared" ref="Q18:R18" si="8">AVERAGE(Q19:Q24)</f>
        <v>0.3333333333</v>
      </c>
      <c r="R18" s="209">
        <f t="shared" si="8"/>
        <v>0.3333333333</v>
      </c>
      <c r="T18" s="21"/>
      <c r="U18" s="12"/>
      <c r="V18" s="12"/>
      <c r="W18" s="12"/>
      <c r="X18" s="12"/>
      <c r="Y18" s="12"/>
    </row>
    <row r="19" ht="15.0" customHeight="1">
      <c r="A19" s="210" t="s">
        <v>19</v>
      </c>
      <c r="B19" s="218">
        <f>'Witch Doctor'!B19*2</f>
        <v>0.14</v>
      </c>
      <c r="C19" s="212">
        <f>1-(1-'Witch Doctor'!B19)^2</f>
        <v>0.1351</v>
      </c>
      <c r="E19" s="31"/>
      <c r="F19" s="210" t="s">
        <v>19</v>
      </c>
      <c r="G19" s="218">
        <f>'Witch Doctor'!F19*2</f>
        <v>0.3333333333</v>
      </c>
      <c r="H19" s="212">
        <f>1-(1-'Witch Doctor'!F19)^2</f>
        <v>0.3055555556</v>
      </c>
      <c r="J19" s="31"/>
      <c r="K19" s="210" t="s">
        <v>19</v>
      </c>
      <c r="L19" s="218">
        <f>'Witch Doctor'!J19*1</f>
        <v>1</v>
      </c>
      <c r="M19" s="212">
        <f>1-(1-'Witch Doctor'!J19)^1</f>
        <v>1</v>
      </c>
      <c r="O19" s="31"/>
      <c r="P19" s="210" t="s">
        <v>19</v>
      </c>
      <c r="Q19" s="218">
        <f>'Witch Doctor'!N19*1</f>
        <v>0.3333333333</v>
      </c>
      <c r="R19" s="212">
        <f>1-(1-'Witch Doctor'!N19)^1</f>
        <v>0.3333333333</v>
      </c>
      <c r="T19" s="21"/>
      <c r="U19" s="12"/>
      <c r="V19" s="12"/>
      <c r="W19" s="12"/>
      <c r="X19" s="12"/>
      <c r="Y19" s="12"/>
    </row>
    <row r="20" ht="15.0" customHeight="1">
      <c r="A20" s="213" t="s">
        <v>822</v>
      </c>
      <c r="B20" s="219">
        <f>'Witch Doctor'!B20*2</f>
        <v>0.14</v>
      </c>
      <c r="C20" s="214">
        <f>1-(1-'Witch Doctor'!B20)^2</f>
        <v>0.1351</v>
      </c>
      <c r="E20" s="31"/>
      <c r="F20" s="213" t="s">
        <v>823</v>
      </c>
      <c r="G20" s="219">
        <f>'Witch Doctor'!F20*1</f>
        <v>0.3333333333</v>
      </c>
      <c r="H20" s="214">
        <f>1-(1-'Witch Doctor'!F20)^1</f>
        <v>0.3333333333</v>
      </c>
      <c r="J20" s="31"/>
      <c r="K20" s="213" t="s">
        <v>824</v>
      </c>
      <c r="L20" s="219">
        <f>'Witch Doctor'!J20*1</f>
        <v>1</v>
      </c>
      <c r="M20" s="214">
        <f>1-(1-'Witch Doctor'!J20)^1</f>
        <v>1</v>
      </c>
      <c r="O20" s="31"/>
      <c r="P20" s="213" t="s">
        <v>825</v>
      </c>
      <c r="Q20" s="219">
        <f>'Witch Doctor'!N20*1</f>
        <v>0.3333333333</v>
      </c>
      <c r="R20" s="214">
        <f>1-(1-'Witch Doctor'!N20)^1</f>
        <v>0.3333333333</v>
      </c>
      <c r="T20" s="21"/>
      <c r="U20" s="12"/>
      <c r="V20" s="12"/>
      <c r="W20" s="12"/>
      <c r="X20" s="12"/>
      <c r="Y20" s="12"/>
    </row>
    <row r="21" ht="15.0" customHeight="1">
      <c r="A21" s="215" t="s">
        <v>826</v>
      </c>
      <c r="B21" s="218">
        <f>'Witch Doctor'!B21*2</f>
        <v>0.14</v>
      </c>
      <c r="C21" s="212">
        <f>1-(1-'Witch Doctor'!B21)^2</f>
        <v>0.1351</v>
      </c>
      <c r="E21" s="31"/>
      <c r="F21" s="215" t="s">
        <v>827</v>
      </c>
      <c r="G21" s="218">
        <f>'Witch Doctor'!F21*2</f>
        <v>0.3333333333</v>
      </c>
      <c r="H21" s="212">
        <f>1-(1-'Witch Doctor'!F21)^2</f>
        <v>0.3055555556</v>
      </c>
      <c r="J21" s="31"/>
      <c r="K21" s="215" t="s">
        <v>828</v>
      </c>
      <c r="L21" s="218">
        <f>'Witch Doctor'!J21*1</f>
        <v>1</v>
      </c>
      <c r="M21" s="212">
        <f>1-(1-'Witch Doctor'!J21)^1</f>
        <v>1</v>
      </c>
      <c r="O21" s="31"/>
      <c r="P21" s="215" t="s">
        <v>829</v>
      </c>
      <c r="Q21" s="218">
        <f>'Witch Doctor'!N21*1</f>
        <v>0.3333333333</v>
      </c>
      <c r="R21" s="212">
        <f>1-(1-'Witch Doctor'!N21)^1</f>
        <v>0.3333333333</v>
      </c>
      <c r="T21" s="21"/>
      <c r="U21" s="12"/>
      <c r="V21" s="12"/>
      <c r="W21" s="12"/>
      <c r="X21" s="12"/>
      <c r="Y21" s="12"/>
    </row>
    <row r="22" ht="15.0" customHeight="1">
      <c r="A22" s="213" t="s">
        <v>830</v>
      </c>
      <c r="B22" s="219">
        <f>'Witch Doctor'!B22*2</f>
        <v>0.14</v>
      </c>
      <c r="C22" s="214">
        <f>1-(1-'Witch Doctor'!B22)^2</f>
        <v>0.1351</v>
      </c>
      <c r="E22" s="31"/>
      <c r="F22" s="213" t="s">
        <v>831</v>
      </c>
      <c r="G22" s="219">
        <f>'Witch Doctor'!F22*2</f>
        <v>0.3333333333</v>
      </c>
      <c r="H22" s="214">
        <f>1-(1-'Witch Doctor'!F22)^2</f>
        <v>0.3055555556</v>
      </c>
      <c r="J22" s="31"/>
      <c r="K22" s="213" t="s">
        <v>832</v>
      </c>
      <c r="L22" s="219">
        <f>'Witch Doctor'!J22*1</f>
        <v>1</v>
      </c>
      <c r="M22" s="214">
        <f>1-(1-'Witch Doctor'!J22)^1</f>
        <v>1</v>
      </c>
      <c r="O22" s="31"/>
      <c r="P22" s="213" t="s">
        <v>833</v>
      </c>
      <c r="Q22" s="219">
        <f>'Witch Doctor'!N22*1</f>
        <v>0.3333333333</v>
      </c>
      <c r="R22" s="214">
        <f>1-(1-'Witch Doctor'!N22)^1</f>
        <v>0.3333333333</v>
      </c>
      <c r="T22" s="21"/>
      <c r="U22" s="12"/>
      <c r="V22" s="12"/>
      <c r="W22" s="12"/>
      <c r="X22" s="12"/>
      <c r="Y22" s="12"/>
    </row>
    <row r="23" ht="15.0" customHeight="1">
      <c r="A23" s="215" t="s">
        <v>834</v>
      </c>
      <c r="B23" s="218">
        <f>'Witch Doctor'!B23*2</f>
        <v>0.14</v>
      </c>
      <c r="C23" s="212">
        <f>1-(1-'Witch Doctor'!B23)^2</f>
        <v>0.1351</v>
      </c>
      <c r="E23" s="31"/>
      <c r="F23" s="215" t="s">
        <v>835</v>
      </c>
      <c r="G23" s="218">
        <f>'Witch Doctor'!F23*1*(120/60)</f>
        <v>1</v>
      </c>
      <c r="H23" s="212">
        <f>1-(1-'Witch Doctor'!F23)^(120/60)</f>
        <v>0.75</v>
      </c>
      <c r="J23" s="31"/>
      <c r="K23" s="215" t="s">
        <v>836</v>
      </c>
      <c r="L23" s="218">
        <f>'Witch Doctor'!J23*1</f>
        <v>1</v>
      </c>
      <c r="M23" s="212">
        <f>1-(1-'Witch Doctor'!J23)^1</f>
        <v>1</v>
      </c>
      <c r="O23" s="31"/>
      <c r="P23" s="215" t="s">
        <v>837</v>
      </c>
      <c r="Q23" s="218">
        <f>'Witch Doctor'!N23*1</f>
        <v>0.3333333333</v>
      </c>
      <c r="R23" s="212">
        <f>1-(1-'Witch Doctor'!N23)^1</f>
        <v>0.3333333333</v>
      </c>
      <c r="T23" s="21"/>
      <c r="U23" s="12"/>
      <c r="V23" s="12"/>
      <c r="W23" s="12"/>
      <c r="X23" s="12"/>
      <c r="Y23" s="12"/>
    </row>
    <row r="24" ht="15.0" customHeight="1">
      <c r="A24" s="213" t="s">
        <v>838</v>
      </c>
      <c r="B24" s="219">
        <f>'Witch Doctor'!B24*2</f>
        <v>0.14</v>
      </c>
      <c r="C24" s="214">
        <f>1-(1-'Witch Doctor'!B24)^2</f>
        <v>0.1351</v>
      </c>
      <c r="E24" s="31"/>
      <c r="F24" s="213" t="s">
        <v>839</v>
      </c>
      <c r="G24" s="219">
        <f>'Witch Doctor'!F24*2</f>
        <v>0.5</v>
      </c>
      <c r="H24" s="214">
        <f>1-(1-'Witch Doctor'!F24)^2</f>
        <v>0.4375</v>
      </c>
      <c r="J24" s="31"/>
      <c r="K24" s="213" t="s">
        <v>840</v>
      </c>
      <c r="L24" s="219">
        <f>'Witch Doctor'!J24*1</f>
        <v>1</v>
      </c>
      <c r="M24" s="214">
        <f>1-(1-'Witch Doctor'!J24)^1</f>
        <v>1</v>
      </c>
      <c r="O24" s="31"/>
      <c r="P24" s="213" t="s">
        <v>841</v>
      </c>
      <c r="Q24" s="219">
        <f>'Witch Doctor'!N24*1</f>
        <v>0.3333333333</v>
      </c>
      <c r="R24" s="214">
        <f>1-(1-'Witch Doctor'!N24)^1</f>
        <v>0.3333333333</v>
      </c>
      <c r="T24" s="21"/>
      <c r="U24" s="12"/>
      <c r="V24" s="12"/>
      <c r="W24" s="12"/>
      <c r="X24" s="12"/>
      <c r="Y24" s="12"/>
    </row>
    <row r="25" ht="15.0" customHeight="1">
      <c r="A25" s="10"/>
      <c r="B25" s="26"/>
      <c r="C25" s="26"/>
      <c r="D25" s="41"/>
      <c r="E25" s="10"/>
      <c r="F25" s="10"/>
      <c r="G25" s="26"/>
      <c r="H25" s="26"/>
      <c r="I25" s="41"/>
      <c r="J25" s="10"/>
      <c r="K25" s="10"/>
      <c r="L25" s="26"/>
      <c r="M25" s="26"/>
      <c r="N25" s="41"/>
      <c r="O25" s="10"/>
      <c r="P25" s="10"/>
      <c r="Q25" s="26"/>
      <c r="R25" s="26"/>
      <c r="S25" s="42"/>
      <c r="T25" s="12"/>
      <c r="U25" s="12"/>
      <c r="V25" s="12"/>
      <c r="W25" s="12"/>
      <c r="X25" s="12"/>
      <c r="Y25" s="12"/>
    </row>
    <row r="26" ht="15.75" customHeight="1">
      <c r="A26" s="28"/>
      <c r="B26" s="29" t="s">
        <v>338</v>
      </c>
      <c r="C26" s="29" t="s">
        <v>339</v>
      </c>
      <c r="D26" s="30" t="s">
        <v>842</v>
      </c>
      <c r="E26" s="31"/>
      <c r="F26" s="28"/>
      <c r="G26" s="29" t="s">
        <v>338</v>
      </c>
      <c r="H26" s="29" t="s">
        <v>339</v>
      </c>
      <c r="I26" s="30" t="s">
        <v>843</v>
      </c>
      <c r="J26" s="31"/>
      <c r="K26" s="28"/>
      <c r="L26" s="29" t="s">
        <v>338</v>
      </c>
      <c r="M26" s="29" t="s">
        <v>339</v>
      </c>
      <c r="N26" s="30" t="s">
        <v>844</v>
      </c>
      <c r="O26" s="31"/>
      <c r="P26" s="28"/>
      <c r="Q26" s="29" t="s">
        <v>338</v>
      </c>
      <c r="R26" s="29" t="s">
        <v>339</v>
      </c>
      <c r="S26" s="43" t="s">
        <v>845</v>
      </c>
      <c r="T26" s="21"/>
      <c r="U26" s="12"/>
      <c r="V26" s="12"/>
      <c r="W26" s="12"/>
      <c r="X26" s="12"/>
      <c r="Y26" s="12"/>
    </row>
    <row r="27" ht="17.25" customHeight="1">
      <c r="A27" s="208" t="s">
        <v>18</v>
      </c>
      <c r="B27" s="217">
        <f t="shared" ref="B27:C27" si="9">AVERAGE(B28:B33)</f>
        <v>0</v>
      </c>
      <c r="C27" s="209">
        <f t="shared" si="9"/>
        <v>0</v>
      </c>
      <c r="E27" s="31"/>
      <c r="F27" s="208" t="s">
        <v>18</v>
      </c>
      <c r="G27" s="217">
        <f t="shared" ref="G27:H27" si="10">AVERAGE(G28:G33)</f>
        <v>0</v>
      </c>
      <c r="H27" s="209">
        <f t="shared" si="10"/>
        <v>0</v>
      </c>
      <c r="J27" s="31"/>
      <c r="K27" s="208" t="s">
        <v>18</v>
      </c>
      <c r="L27" s="217">
        <f t="shared" ref="L27:M27" si="11">AVERAGE(L28:L33)</f>
        <v>0.08888888889</v>
      </c>
      <c r="M27" s="209">
        <f t="shared" si="11"/>
        <v>0.08888888889</v>
      </c>
      <c r="O27" s="31"/>
      <c r="P27" s="208" t="s">
        <v>18</v>
      </c>
      <c r="Q27" s="217">
        <f t="shared" ref="Q27:R27" si="12">AVERAGE(Q28:Q33)</f>
        <v>0.05555555556</v>
      </c>
      <c r="R27" s="209">
        <f t="shared" si="12"/>
        <v>0.05555555556</v>
      </c>
      <c r="T27" s="21"/>
      <c r="U27" s="12"/>
      <c r="V27" s="12"/>
      <c r="W27" s="12"/>
      <c r="X27" s="12"/>
      <c r="Y27" s="12"/>
    </row>
    <row r="28" ht="15.0" customHeight="1">
      <c r="A28" s="210" t="s">
        <v>19</v>
      </c>
      <c r="B28" s="218">
        <f>'Witch Doctor'!B28*1</f>
        <v>0</v>
      </c>
      <c r="C28" s="212">
        <f>1-(1-'Witch Doctor'!B28)^1</f>
        <v>0</v>
      </c>
      <c r="E28" s="31"/>
      <c r="F28" s="210" t="s">
        <v>19</v>
      </c>
      <c r="G28" s="218">
        <f>'Witch Doctor'!F28*1</f>
        <v>0</v>
      </c>
      <c r="H28" s="212">
        <f>1-(1-'Witch Doctor'!F28)^1</f>
        <v>0</v>
      </c>
      <c r="J28" s="31"/>
      <c r="K28" s="210" t="s">
        <v>19</v>
      </c>
      <c r="L28" s="218">
        <f>'Witch Doctor'!J28*1</f>
        <v>0</v>
      </c>
      <c r="M28" s="212">
        <f>1-(1-'Witch Doctor'!J28)^1</f>
        <v>0</v>
      </c>
      <c r="O28" s="31"/>
      <c r="P28" s="210" t="s">
        <v>19</v>
      </c>
      <c r="Q28" s="218">
        <f>'Witch Doctor'!N28*1</f>
        <v>0</v>
      </c>
      <c r="R28" s="212">
        <f>1-(1-'Witch Doctor'!N28)^1</f>
        <v>0</v>
      </c>
      <c r="T28" s="21"/>
      <c r="U28" s="12"/>
      <c r="V28" s="12"/>
      <c r="W28" s="12"/>
      <c r="X28" s="12"/>
      <c r="Y28" s="12"/>
    </row>
    <row r="29" ht="15.0" customHeight="1">
      <c r="A29" s="213" t="s">
        <v>846</v>
      </c>
      <c r="B29" s="219">
        <f>'Witch Doctor'!B29*1</f>
        <v>0</v>
      </c>
      <c r="C29" s="214">
        <f>1-(1-'Witch Doctor'!B29)^1</f>
        <v>0</v>
      </c>
      <c r="E29" s="31"/>
      <c r="F29" s="213" t="s">
        <v>847</v>
      </c>
      <c r="G29" s="219">
        <f>'Witch Doctor'!F29*1</f>
        <v>0</v>
      </c>
      <c r="H29" s="214">
        <f>1-(1-'Witch Doctor'!F29)^1</f>
        <v>0</v>
      </c>
      <c r="J29" s="31"/>
      <c r="K29" s="213" t="s">
        <v>848</v>
      </c>
      <c r="L29" s="219">
        <f>'Witch Doctor'!J29*1</f>
        <v>0</v>
      </c>
      <c r="M29" s="214">
        <f>1-(1-'Witch Doctor'!J29)^1</f>
        <v>0</v>
      </c>
      <c r="O29" s="31"/>
      <c r="P29" s="213" t="s">
        <v>849</v>
      </c>
      <c r="Q29" s="219">
        <f>'Witch Doctor'!N29*1</f>
        <v>0</v>
      </c>
      <c r="R29" s="214">
        <f>1-(1-'Witch Doctor'!N29)^1</f>
        <v>0</v>
      </c>
      <c r="T29" s="21"/>
      <c r="U29" s="12"/>
      <c r="V29" s="12"/>
      <c r="W29" s="12"/>
      <c r="X29" s="12"/>
      <c r="Y29" s="12"/>
    </row>
    <row r="30" ht="15.0" customHeight="1">
      <c r="A30" s="215" t="s">
        <v>850</v>
      </c>
      <c r="B30" s="218">
        <f>'Witch Doctor'!B30*1</f>
        <v>0</v>
      </c>
      <c r="C30" s="212">
        <f>1-(1-'Witch Doctor'!B30)^1</f>
        <v>0</v>
      </c>
      <c r="E30" s="31"/>
      <c r="F30" s="215" t="s">
        <v>851</v>
      </c>
      <c r="G30" s="218">
        <f>'Witch Doctor'!F30*1</f>
        <v>0</v>
      </c>
      <c r="H30" s="212">
        <f>1-(1-'Witch Doctor'!F30)^1</f>
        <v>0</v>
      </c>
      <c r="J30" s="31"/>
      <c r="K30" s="215" t="s">
        <v>852</v>
      </c>
      <c r="L30" s="218">
        <f>'Witch Doctor'!J30*1</f>
        <v>0</v>
      </c>
      <c r="M30" s="212">
        <f>1-(1-'Witch Doctor'!J30)^1</f>
        <v>0</v>
      </c>
      <c r="O30" s="31"/>
      <c r="P30" s="215" t="s">
        <v>853</v>
      </c>
      <c r="Q30" s="218">
        <f>'Witch Doctor'!N30*1</f>
        <v>0</v>
      </c>
      <c r="R30" s="212">
        <f>1-(1-'Witch Doctor'!N30)^1</f>
        <v>0</v>
      </c>
      <c r="T30" s="21"/>
      <c r="U30" s="12"/>
      <c r="V30" s="12"/>
      <c r="W30" s="12"/>
      <c r="X30" s="12"/>
      <c r="Y30" s="12"/>
    </row>
    <row r="31" ht="15.0" customHeight="1">
      <c r="A31" s="213" t="s">
        <v>854</v>
      </c>
      <c r="B31" s="219">
        <f>'Witch Doctor'!B31*1</f>
        <v>0</v>
      </c>
      <c r="C31" s="214">
        <f>1-(1-'Witch Doctor'!B31)^1</f>
        <v>0</v>
      </c>
      <c r="E31" s="31"/>
      <c r="F31" s="213" t="s">
        <v>855</v>
      </c>
      <c r="G31" s="219">
        <f>'Witch Doctor'!F31*1</f>
        <v>0</v>
      </c>
      <c r="H31" s="214">
        <f>1-(1-'Witch Doctor'!F31)^1</f>
        <v>0</v>
      </c>
      <c r="J31" s="31"/>
      <c r="K31" s="213" t="s">
        <v>856</v>
      </c>
      <c r="L31" s="219">
        <f>'Witch Doctor'!J31*1</f>
        <v>0.3333333333</v>
      </c>
      <c r="M31" s="214">
        <f>1-(1-'Witch Doctor'!J31)^1</f>
        <v>0.3333333333</v>
      </c>
      <c r="O31" s="31"/>
      <c r="P31" s="213" t="s">
        <v>857</v>
      </c>
      <c r="Q31" s="219">
        <f>'Witch Doctor'!N31*1</f>
        <v>0.3333333333</v>
      </c>
      <c r="R31" s="214">
        <f>1-(1-'Witch Doctor'!N31)^1</f>
        <v>0.3333333333</v>
      </c>
      <c r="T31" s="21"/>
      <c r="U31" s="12"/>
      <c r="V31" s="12"/>
      <c r="W31" s="12"/>
      <c r="X31" s="12"/>
      <c r="Y31" s="12"/>
    </row>
    <row r="32" ht="15.0" customHeight="1">
      <c r="A32" s="215" t="s">
        <v>858</v>
      </c>
      <c r="B32" s="218">
        <f>'Witch Doctor'!B32*2</f>
        <v>0</v>
      </c>
      <c r="C32" s="212">
        <f>1-(1-'Witch Doctor'!B32)^2</f>
        <v>0</v>
      </c>
      <c r="E32" s="31"/>
      <c r="F32" s="215" t="s">
        <v>859</v>
      </c>
      <c r="G32" s="218">
        <f>'Witch Doctor'!F32*1</f>
        <v>0</v>
      </c>
      <c r="H32" s="212">
        <f>1-(1-'Witch Doctor'!F32)^1</f>
        <v>0</v>
      </c>
      <c r="J32" s="31"/>
      <c r="K32" s="215" t="s">
        <v>860</v>
      </c>
      <c r="L32" s="218">
        <f>'Witch Doctor'!J32*1</f>
        <v>0.2</v>
      </c>
      <c r="M32" s="212">
        <f>1-(1-'Witch Doctor'!J32)^1</f>
        <v>0.2</v>
      </c>
      <c r="O32" s="31"/>
      <c r="P32" s="215" t="s">
        <v>941</v>
      </c>
      <c r="Q32" s="218">
        <f>'Witch Doctor'!N32*1</f>
        <v>0</v>
      </c>
      <c r="R32" s="212">
        <f>1-(1-'Witch Doctor'!N32)^1</f>
        <v>0</v>
      </c>
      <c r="T32" s="21"/>
      <c r="U32" s="12"/>
      <c r="V32" s="12"/>
      <c r="W32" s="12"/>
      <c r="X32" s="12"/>
      <c r="Y32" s="12"/>
    </row>
    <row r="33" ht="15.0" customHeight="1">
      <c r="A33" s="213" t="s">
        <v>862</v>
      </c>
      <c r="B33" s="219">
        <f>'Witch Doctor'!B33*1</f>
        <v>0</v>
      </c>
      <c r="C33" s="214">
        <f>1-(1-'Witch Doctor'!B33)^1</f>
        <v>0</v>
      </c>
      <c r="E33" s="31"/>
      <c r="F33" s="213" t="s">
        <v>863</v>
      </c>
      <c r="G33" s="219">
        <f>'Witch Doctor'!F33*1</f>
        <v>0</v>
      </c>
      <c r="H33" s="214">
        <f>1-(1-'Witch Doctor'!F33)^1</f>
        <v>0</v>
      </c>
      <c r="J33" s="31"/>
      <c r="K33" s="213" t="s">
        <v>864</v>
      </c>
      <c r="L33" s="219">
        <f>'Witch Doctor'!J33*1</f>
        <v>0</v>
      </c>
      <c r="M33" s="214">
        <f>1-(1-'Witch Doctor'!J33)^1</f>
        <v>0</v>
      </c>
      <c r="O33" s="31"/>
      <c r="P33" s="213" t="s">
        <v>865</v>
      </c>
      <c r="Q33" s="219">
        <f>'Witch Doctor'!N33*1</f>
        <v>0</v>
      </c>
      <c r="R33" s="214">
        <f>1-(1-'Witch Doctor'!N33)^1</f>
        <v>0</v>
      </c>
      <c r="T33" s="21"/>
      <c r="U33" s="12"/>
      <c r="V33" s="12"/>
      <c r="W33" s="12"/>
      <c r="X33" s="12"/>
      <c r="Y33" s="12"/>
    </row>
    <row r="34" ht="15.0" customHeight="1">
      <c r="A34" s="10"/>
      <c r="B34" s="26"/>
      <c r="C34" s="26"/>
      <c r="D34" s="41"/>
      <c r="E34" s="10"/>
      <c r="F34" s="10"/>
      <c r="G34" s="26"/>
      <c r="H34" s="26"/>
      <c r="I34" s="41"/>
      <c r="J34" s="10"/>
      <c r="K34" s="10"/>
      <c r="L34" s="26"/>
      <c r="M34" s="26"/>
      <c r="N34" s="41"/>
      <c r="O34" s="10"/>
      <c r="P34" s="10"/>
      <c r="Q34" s="10"/>
      <c r="R34" s="10"/>
      <c r="S34" s="48"/>
      <c r="T34" s="12"/>
      <c r="U34" s="12"/>
      <c r="V34" s="12"/>
      <c r="W34" s="12"/>
      <c r="X34" s="12"/>
      <c r="Y34" s="12"/>
    </row>
    <row r="35" ht="15.75" customHeight="1">
      <c r="A35" s="28"/>
      <c r="B35" s="29" t="s">
        <v>338</v>
      </c>
      <c r="C35" s="29" t="s">
        <v>339</v>
      </c>
      <c r="D35" s="30" t="s">
        <v>866</v>
      </c>
      <c r="E35" s="31"/>
      <c r="F35" s="28"/>
      <c r="G35" s="29" t="s">
        <v>338</v>
      </c>
      <c r="H35" s="29" t="s">
        <v>339</v>
      </c>
      <c r="I35" s="30" t="s">
        <v>867</v>
      </c>
      <c r="J35" s="31"/>
      <c r="K35" s="28"/>
      <c r="L35" s="29" t="s">
        <v>338</v>
      </c>
      <c r="M35" s="29" t="s">
        <v>339</v>
      </c>
      <c r="N35" s="30" t="s">
        <v>868</v>
      </c>
      <c r="O35" s="31"/>
      <c r="P35" s="10"/>
      <c r="Q35" s="10"/>
      <c r="R35" s="10"/>
      <c r="S35" s="12"/>
      <c r="T35" s="12"/>
      <c r="U35" s="12"/>
      <c r="V35" s="12"/>
      <c r="W35" s="12"/>
      <c r="X35" s="12"/>
      <c r="Y35" s="12"/>
    </row>
    <row r="36" ht="17.25" customHeight="1">
      <c r="A36" s="208" t="s">
        <v>18</v>
      </c>
      <c r="B36" s="217">
        <f t="shared" ref="B36:C36" si="13">AVERAGE(B37:B42)</f>
        <v>0.04166666667</v>
      </c>
      <c r="C36" s="209">
        <f t="shared" si="13"/>
        <v>0.04166666667</v>
      </c>
      <c r="E36" s="31"/>
      <c r="F36" s="208" t="s">
        <v>18</v>
      </c>
      <c r="G36" s="217">
        <f t="shared" ref="G36:H36" si="14">AVERAGE(G37:G42)</f>
        <v>0.1666666667</v>
      </c>
      <c r="H36" s="209">
        <f t="shared" si="14"/>
        <v>0.1666666667</v>
      </c>
      <c r="J36" s="31"/>
      <c r="K36" s="208" t="s">
        <v>18</v>
      </c>
      <c r="L36" s="217">
        <f t="shared" ref="L36:M36" si="15">AVERAGE(L37:L42)</f>
        <v>0.08666666667</v>
      </c>
      <c r="M36" s="209">
        <f t="shared" si="15"/>
        <v>0.07118373167</v>
      </c>
      <c r="O36" s="31"/>
      <c r="P36" s="10"/>
      <c r="Q36" s="10"/>
      <c r="R36" s="10"/>
      <c r="S36" s="12"/>
      <c r="T36" s="12"/>
      <c r="U36" s="12"/>
      <c r="V36" s="12"/>
      <c r="W36" s="12"/>
      <c r="X36" s="12"/>
      <c r="Y36" s="12"/>
    </row>
    <row r="37" ht="15.0" customHeight="1">
      <c r="A37" s="210" t="s">
        <v>19</v>
      </c>
      <c r="B37" s="218">
        <f>'Witch Doctor'!B37*1</f>
        <v>0</v>
      </c>
      <c r="C37" s="212">
        <f>1-(1-'Witch Doctor'!B37)^1</f>
        <v>0</v>
      </c>
      <c r="E37" s="31"/>
      <c r="F37" s="210" t="s">
        <v>19</v>
      </c>
      <c r="G37" s="218">
        <f>'Witch Doctor'!F37*1</f>
        <v>0.1666666667</v>
      </c>
      <c r="H37" s="212">
        <f>1-(1-'Witch Doctor'!F37)^1</f>
        <v>0.1666666667</v>
      </c>
      <c r="J37" s="31"/>
      <c r="K37" s="210" t="s">
        <v>19</v>
      </c>
      <c r="L37" s="218">
        <f>'Witch Doctor'!J37*1</f>
        <v>0</v>
      </c>
      <c r="M37" s="212">
        <f>1-(1-'Witch Doctor'!J37)^1</f>
        <v>0</v>
      </c>
      <c r="O37" s="31"/>
      <c r="P37" s="10"/>
      <c r="Q37" s="10"/>
      <c r="R37" s="10"/>
      <c r="S37" s="12"/>
      <c r="T37" s="12"/>
      <c r="U37" s="12"/>
      <c r="V37" s="12"/>
      <c r="W37" s="12"/>
      <c r="X37" s="12"/>
      <c r="Y37" s="12"/>
    </row>
    <row r="38" ht="15.0" customHeight="1">
      <c r="A38" s="213" t="s">
        <v>869</v>
      </c>
      <c r="B38" s="219">
        <f>'Witch Doctor'!B38*1</f>
        <v>0</v>
      </c>
      <c r="C38" s="214">
        <f>1-(1-'Witch Doctor'!B38)^1</f>
        <v>0</v>
      </c>
      <c r="E38" s="31"/>
      <c r="F38" s="213" t="s">
        <v>870</v>
      </c>
      <c r="G38" s="219">
        <f>'Witch Doctor'!F38*1</f>
        <v>0.1666666667</v>
      </c>
      <c r="H38" s="214">
        <f>1-(1-'Witch Doctor'!F38)^1</f>
        <v>0.1666666667</v>
      </c>
      <c r="J38" s="31"/>
      <c r="K38" s="213" t="s">
        <v>871</v>
      </c>
      <c r="L38" s="219">
        <f>'Witch Doctor'!J38*1</f>
        <v>0</v>
      </c>
      <c r="M38" s="214">
        <f>1-(1-'Witch Doctor'!J38)^1</f>
        <v>0</v>
      </c>
      <c r="O38" s="31"/>
      <c r="P38" s="10"/>
      <c r="Q38" s="10"/>
      <c r="R38" s="10"/>
      <c r="S38" s="12"/>
      <c r="T38" s="12"/>
      <c r="U38" s="12"/>
      <c r="V38" s="12"/>
      <c r="W38" s="12"/>
      <c r="X38" s="12"/>
      <c r="Y38" s="12"/>
    </row>
    <row r="39" ht="15.0" customHeight="1">
      <c r="A39" s="215" t="s">
        <v>872</v>
      </c>
      <c r="B39" s="218">
        <f>'Witch Doctor'!B39*1</f>
        <v>0</v>
      </c>
      <c r="C39" s="212">
        <f>1-(1-'Witch Doctor'!B39)^1</f>
        <v>0</v>
      </c>
      <c r="E39" s="31"/>
      <c r="F39" s="215" t="s">
        <v>873</v>
      </c>
      <c r="G39" s="218">
        <f>'Witch Doctor'!F39*1</f>
        <v>0.1666666667</v>
      </c>
      <c r="H39" s="212">
        <f>1-(1-'Witch Doctor'!F39)^1</f>
        <v>0.1666666667</v>
      </c>
      <c r="J39" s="31"/>
      <c r="K39" s="215" t="s">
        <v>874</v>
      </c>
      <c r="L39" s="218">
        <f>'Witch Doctor'!J39*1</f>
        <v>0</v>
      </c>
      <c r="M39" s="212">
        <f>1-(1-'Witch Doctor'!J39)^1</f>
        <v>0</v>
      </c>
      <c r="O39" s="31"/>
      <c r="P39" s="10"/>
      <c r="Q39" s="10"/>
      <c r="R39" s="10"/>
      <c r="S39" s="12"/>
      <c r="T39" s="12"/>
      <c r="U39" s="12"/>
      <c r="V39" s="12"/>
      <c r="W39" s="12"/>
      <c r="X39" s="12"/>
      <c r="Y39" s="12"/>
    </row>
    <row r="40" ht="15.0" customHeight="1">
      <c r="A40" s="213" t="s">
        <v>875</v>
      </c>
      <c r="B40" s="219">
        <f>'Witch Doctor'!B40*1</f>
        <v>0</v>
      </c>
      <c r="C40" s="214">
        <f>1-(1-'Witch Doctor'!B40)^1</f>
        <v>0</v>
      </c>
      <c r="E40" s="31"/>
      <c r="F40" s="213" t="s">
        <v>876</v>
      </c>
      <c r="G40" s="219">
        <f>'Witch Doctor'!F40*1</f>
        <v>0.1666666667</v>
      </c>
      <c r="H40" s="214">
        <f>1-(1-'Witch Doctor'!F40)^1</f>
        <v>0.1666666667</v>
      </c>
      <c r="J40" s="31"/>
      <c r="K40" s="213" t="s">
        <v>877</v>
      </c>
      <c r="L40" s="219">
        <f>'Witch Doctor'!J40*1</f>
        <v>0</v>
      </c>
      <c r="M40" s="214">
        <f>1-(1-'Witch Doctor'!J40)^1</f>
        <v>0</v>
      </c>
      <c r="O40" s="31"/>
      <c r="P40" s="10"/>
      <c r="Q40" s="10"/>
      <c r="R40" s="10"/>
      <c r="S40" s="12"/>
      <c r="T40" s="12"/>
      <c r="U40" s="12"/>
      <c r="V40" s="12"/>
      <c r="W40" s="12"/>
      <c r="X40" s="12"/>
      <c r="Y40" s="12"/>
    </row>
    <row r="41" ht="15.0" customHeight="1">
      <c r="A41" s="215" t="s">
        <v>878</v>
      </c>
      <c r="B41" s="218">
        <f>'Witch Doctor'!B41*1</f>
        <v>0</v>
      </c>
      <c r="C41" s="212">
        <f>1-(1-'Witch Doctor'!B41)^1</f>
        <v>0</v>
      </c>
      <c r="E41" s="31"/>
      <c r="F41" s="215" t="s">
        <v>879</v>
      </c>
      <c r="G41" s="218">
        <f>'Witch Doctor'!F41*1</f>
        <v>0.1666666667</v>
      </c>
      <c r="H41" s="212">
        <f>1-(1-'Witch Doctor'!F41)^1</f>
        <v>0.1666666667</v>
      </c>
      <c r="J41" s="31"/>
      <c r="K41" s="215" t="s">
        <v>880</v>
      </c>
      <c r="L41" s="218">
        <f>'Witch Doctor'!J41*1</f>
        <v>0</v>
      </c>
      <c r="M41" s="212">
        <f>1-(1-'Witch Doctor'!J41)^1</f>
        <v>0</v>
      </c>
      <c r="O41" s="31"/>
      <c r="P41" s="10"/>
      <c r="Q41" s="10"/>
      <c r="R41" s="10"/>
      <c r="S41" s="12"/>
      <c r="T41" s="12"/>
      <c r="U41" s="12"/>
      <c r="V41" s="12"/>
      <c r="W41" s="12"/>
      <c r="X41" s="12"/>
      <c r="Y41" s="12"/>
    </row>
    <row r="42" ht="15.0" customHeight="1">
      <c r="A42" s="213" t="s">
        <v>881</v>
      </c>
      <c r="B42" s="219">
        <f>'Witch Doctor'!B42*1</f>
        <v>0.25</v>
      </c>
      <c r="C42" s="214">
        <f>1-(1-'Witch Doctor'!B42)^1</f>
        <v>0.25</v>
      </c>
      <c r="E42" s="31"/>
      <c r="F42" s="213" t="s">
        <v>882</v>
      </c>
      <c r="G42" s="219">
        <f>'Witch Doctor'!F42*1</f>
        <v>0.1666666667</v>
      </c>
      <c r="H42" s="214">
        <f>1-(1-'Witch Doctor'!F42)^1</f>
        <v>0.1666666667</v>
      </c>
      <c r="J42" s="31"/>
      <c r="K42" s="213" t="s">
        <v>883</v>
      </c>
      <c r="L42" s="219">
        <f>'Witch Doctor'!J42*4</f>
        <v>0.52</v>
      </c>
      <c r="M42" s="214">
        <f>1-(1-'Witch Doctor'!J42)^4</f>
        <v>0.42710239</v>
      </c>
      <c r="O42" s="31"/>
      <c r="P42" s="10"/>
      <c r="Q42" s="10"/>
      <c r="R42" s="10"/>
      <c r="S42" s="12"/>
      <c r="T42" s="12"/>
      <c r="U42" s="12"/>
      <c r="V42" s="12"/>
      <c r="W42" s="12"/>
      <c r="X42" s="12"/>
      <c r="Y42" s="12"/>
    </row>
    <row r="43" ht="15.0" customHeight="1">
      <c r="A43" s="10"/>
      <c r="B43" s="26"/>
      <c r="C43" s="26"/>
      <c r="D43" s="41"/>
      <c r="E43" s="10"/>
      <c r="F43" s="10"/>
      <c r="G43" s="26"/>
      <c r="H43" s="26"/>
      <c r="I43" s="41"/>
      <c r="J43" s="10"/>
      <c r="K43" s="10"/>
      <c r="L43" s="26"/>
      <c r="M43" s="26"/>
      <c r="N43" s="41"/>
      <c r="O43" s="10"/>
      <c r="P43" s="10"/>
      <c r="Q43" s="26"/>
      <c r="R43" s="26"/>
      <c r="S43" s="27"/>
      <c r="T43" s="12"/>
      <c r="U43" s="12"/>
      <c r="V43" s="27"/>
      <c r="W43" s="27"/>
      <c r="X43" s="27"/>
      <c r="Y43" s="12"/>
    </row>
    <row r="44" ht="15.75" customHeight="1">
      <c r="A44" s="28"/>
      <c r="B44" s="29" t="s">
        <v>338</v>
      </c>
      <c r="C44" s="29" t="s">
        <v>339</v>
      </c>
      <c r="D44" s="30" t="s">
        <v>884</v>
      </c>
      <c r="E44" s="31"/>
      <c r="F44" s="28"/>
      <c r="G44" s="29" t="s">
        <v>338</v>
      </c>
      <c r="H44" s="29" t="s">
        <v>339</v>
      </c>
      <c r="I44" s="30" t="s">
        <v>885</v>
      </c>
      <c r="J44" s="31"/>
      <c r="K44" s="28"/>
      <c r="L44" s="29" t="s">
        <v>338</v>
      </c>
      <c r="M44" s="29" t="s">
        <v>339</v>
      </c>
      <c r="N44" s="30" t="s">
        <v>942</v>
      </c>
      <c r="O44" s="21"/>
      <c r="P44" s="28"/>
      <c r="Q44" s="29" t="s">
        <v>338</v>
      </c>
      <c r="R44" s="29" t="s">
        <v>339</v>
      </c>
      <c r="S44" s="43" t="s">
        <v>943</v>
      </c>
      <c r="T44" s="21"/>
      <c r="U44" s="28"/>
      <c r="V44" s="29" t="s">
        <v>338</v>
      </c>
      <c r="W44" s="29" t="s">
        <v>339</v>
      </c>
      <c r="X44" s="43" t="s">
        <v>888</v>
      </c>
      <c r="Y44" s="21"/>
    </row>
    <row r="45" ht="17.25" customHeight="1">
      <c r="A45" s="208" t="s">
        <v>18</v>
      </c>
      <c r="B45" s="217">
        <f t="shared" ref="B45:C45" si="16">AVERAGE(B46:B51)</f>
        <v>0.4074074074</v>
      </c>
      <c r="C45" s="209">
        <f t="shared" si="16"/>
        <v>0.4074074074</v>
      </c>
      <c r="E45" s="31"/>
      <c r="F45" s="208" t="s">
        <v>18</v>
      </c>
      <c r="G45" s="217">
        <f t="shared" ref="G45:H45" si="17">AVERAGE(G46:G51)</f>
        <v>0.2044444444</v>
      </c>
      <c r="H45" s="209">
        <f t="shared" si="17"/>
        <v>0.2042944444</v>
      </c>
      <c r="J45" s="31"/>
      <c r="K45" s="208" t="s">
        <v>18</v>
      </c>
      <c r="L45" s="217">
        <f t="shared" ref="L45:M45" si="18">AVERAGE(L46:L51)</f>
        <v>0.3388888889</v>
      </c>
      <c r="M45" s="209">
        <f t="shared" si="18"/>
        <v>0.4107407407</v>
      </c>
      <c r="O45" s="21"/>
      <c r="P45" s="208" t="s">
        <v>18</v>
      </c>
      <c r="Q45" s="217">
        <f t="shared" ref="Q45:R45" si="19">AVERAGE(Q46:Q51)</f>
        <v>0.1027777778</v>
      </c>
      <c r="R45" s="209">
        <f t="shared" si="19"/>
        <v>0.09969259259</v>
      </c>
      <c r="T45" s="21"/>
      <c r="U45" s="208" t="s">
        <v>18</v>
      </c>
      <c r="V45" s="217">
        <f t="shared" ref="V45:W45" si="20">AVERAGE(V46:V51)</f>
        <v>0.2052020202</v>
      </c>
      <c r="W45" s="209">
        <f t="shared" si="20"/>
        <v>0.191308429</v>
      </c>
      <c r="Y45" s="21"/>
    </row>
    <row r="46" ht="15.0" customHeight="1">
      <c r="A46" s="210" t="s">
        <v>19</v>
      </c>
      <c r="B46" s="218">
        <f>'Witch Doctor'!B46*1</f>
        <v>0.5</v>
      </c>
      <c r="C46" s="212">
        <f>1-(1-'Witch Doctor'!B46)^1</f>
        <v>0.5</v>
      </c>
      <c r="E46" s="31"/>
      <c r="F46" s="210" t="s">
        <v>19</v>
      </c>
      <c r="G46" s="218">
        <f>'Witch Doctor'!F46*1</f>
        <v>0.25</v>
      </c>
      <c r="H46" s="212">
        <f>1-(1-'Witch Doctor'!F46)^1</f>
        <v>0.25</v>
      </c>
      <c r="J46" s="31"/>
      <c r="K46" s="210" t="s">
        <v>19</v>
      </c>
      <c r="L46" s="218">
        <f>('Witch Doctor'!J46*1+'Witch Doctor'!J46*2)/2</f>
        <v>0.3</v>
      </c>
      <c r="M46" s="212">
        <f>(1-(1-'Witch Doctor'!J46)^1)+(1-(1-'Witch Doctor'!J46)^2)/2</f>
        <v>0.38</v>
      </c>
      <c r="O46" s="21"/>
      <c r="P46" s="210" t="s">
        <v>19</v>
      </c>
      <c r="Q46" s="218">
        <f>'Witch Doctor'!N46*2</f>
        <v>0.16</v>
      </c>
      <c r="R46" s="212">
        <f>1-(1-'Witch Doctor'!N46)^2</f>
        <v>0.1536</v>
      </c>
      <c r="T46" s="21"/>
      <c r="U46" s="210" t="s">
        <v>19</v>
      </c>
      <c r="V46" s="218">
        <f>'Witch Doctor'!R46*2</f>
        <v>0.06060606061</v>
      </c>
      <c r="W46" s="212">
        <f>1-(1-'Witch Doctor'!R46)^2</f>
        <v>0.05968778696</v>
      </c>
      <c r="Y46" s="21"/>
    </row>
    <row r="47" ht="15.0" customHeight="1">
      <c r="A47" s="213" t="s">
        <v>889</v>
      </c>
      <c r="B47" s="219">
        <f>'Witch Doctor'!B47*1</f>
        <v>0.5</v>
      </c>
      <c r="C47" s="214">
        <f>1-(1-'Witch Doctor'!B47)^1</f>
        <v>0.5</v>
      </c>
      <c r="E47" s="31"/>
      <c r="F47" s="213" t="s">
        <v>890</v>
      </c>
      <c r="G47" s="219">
        <f>'Witch Doctor'!F47*1</f>
        <v>0.25</v>
      </c>
      <c r="H47" s="214">
        <f>1-(1-'Witch Doctor'!F47)^1</f>
        <v>0.25</v>
      </c>
      <c r="J47" s="31"/>
      <c r="K47" s="213" t="s">
        <v>891</v>
      </c>
      <c r="L47" s="219">
        <f>('Witch Doctor'!J47*1+'Witch Doctor'!J47*2)/2</f>
        <v>0.3</v>
      </c>
      <c r="M47" s="214">
        <f>(1-(1-'Witch Doctor'!J47)^1)+(1-(1-'Witch Doctor'!J47)^2)/2</f>
        <v>0.38</v>
      </c>
      <c r="O47" s="21"/>
      <c r="P47" s="213" t="s">
        <v>892</v>
      </c>
      <c r="Q47" s="219">
        <f>'Witch Doctor'!N47*2</f>
        <v>0.14</v>
      </c>
      <c r="R47" s="214">
        <f>1-(1-'Witch Doctor'!N47)^2</f>
        <v>0.1351</v>
      </c>
      <c r="T47" s="21"/>
      <c r="U47" s="213" t="s">
        <v>893</v>
      </c>
      <c r="V47" s="219">
        <f>'Witch Doctor'!R47*2</f>
        <v>0.06060606061</v>
      </c>
      <c r="W47" s="214">
        <f>1-(1-'Witch Doctor'!R47)^2</f>
        <v>0.05968778696</v>
      </c>
      <c r="Y47" s="21"/>
    </row>
    <row r="48" ht="15.0" customHeight="1">
      <c r="A48" s="215" t="s">
        <v>894</v>
      </c>
      <c r="B48" s="218">
        <f>'Witch Doctor'!B48*1</f>
        <v>0.5</v>
      </c>
      <c r="C48" s="212">
        <f>1-(1-'Witch Doctor'!B48)^1</f>
        <v>0.5</v>
      </c>
      <c r="E48" s="31"/>
      <c r="F48" s="215" t="s">
        <v>895</v>
      </c>
      <c r="G48" s="218">
        <f>'Witch Doctor'!F48*1</f>
        <v>0.1666666667</v>
      </c>
      <c r="H48" s="212">
        <f>1-(1-'Witch Doctor'!F48)^1</f>
        <v>0.1666666667</v>
      </c>
      <c r="J48" s="31"/>
      <c r="K48" s="215" t="s">
        <v>896</v>
      </c>
      <c r="L48" s="218">
        <f>('Witch Doctor'!J48*1+'Witch Doctor'!J48*2)/2</f>
        <v>0.3</v>
      </c>
      <c r="M48" s="212">
        <f>(1-(1-'Witch Doctor'!J48)^1)+(1-(1-'Witch Doctor'!J48)^2)/2</f>
        <v>0.38</v>
      </c>
      <c r="O48" s="21"/>
      <c r="P48" s="215" t="s">
        <v>897</v>
      </c>
      <c r="Q48" s="218">
        <f>'Witch Doctor'!N48*2</f>
        <v>0.12</v>
      </c>
      <c r="R48" s="212">
        <f>1-(1-'Witch Doctor'!N48)^2</f>
        <v>0.1164</v>
      </c>
      <c r="T48" s="21"/>
      <c r="U48" s="215" t="s">
        <v>898</v>
      </c>
      <c r="V48" s="218">
        <f>'Witch Doctor'!R48*2</f>
        <v>0.05</v>
      </c>
      <c r="W48" s="212">
        <f>1-(1-'Witch Doctor'!R48)^2</f>
        <v>0.049375</v>
      </c>
      <c r="Y48" s="21"/>
    </row>
    <row r="49" ht="15.0" customHeight="1">
      <c r="A49" s="213" t="s">
        <v>899</v>
      </c>
      <c r="B49" s="219">
        <f>'Witch Doctor'!B49*1</f>
        <v>0.3333333333</v>
      </c>
      <c r="C49" s="214">
        <f>1-(1-'Witch Doctor'!B49)^1</f>
        <v>0.3333333333</v>
      </c>
      <c r="E49" s="31"/>
      <c r="F49" s="213" t="s">
        <v>900</v>
      </c>
      <c r="G49" s="219">
        <f>'Witch Doctor'!F49*1</f>
        <v>0.25</v>
      </c>
      <c r="H49" s="214">
        <f>1-(1-'Witch Doctor'!F49)^1</f>
        <v>0.25</v>
      </c>
      <c r="J49" s="31"/>
      <c r="K49" s="213" t="s">
        <v>901</v>
      </c>
      <c r="L49" s="219">
        <f>('Witch Doctor'!J49*1+'Witch Doctor'!J49*2)/2</f>
        <v>0.3</v>
      </c>
      <c r="M49" s="214">
        <f>(1-(1-'Witch Doctor'!J49)^1)+(1-(1-'Witch Doctor'!J49)^2)/2</f>
        <v>0.38</v>
      </c>
      <c r="O49" s="21"/>
      <c r="P49" s="213" t="s">
        <v>902</v>
      </c>
      <c r="Q49" s="219">
        <f>'Witch Doctor'!N49*2</f>
        <v>0.1</v>
      </c>
      <c r="R49" s="214">
        <f>1-(1-'Witch Doctor'!N49)^2</f>
        <v>0.0975</v>
      </c>
      <c r="T49" s="21"/>
      <c r="U49" s="213" t="s">
        <v>903</v>
      </c>
      <c r="V49" s="219">
        <f>'Witch Doctor'!R49*2</f>
        <v>0.1</v>
      </c>
      <c r="W49" s="214">
        <f>1-(1-'Witch Doctor'!R49)^2</f>
        <v>0.0975</v>
      </c>
      <c r="Y49" s="21"/>
    </row>
    <row r="50" ht="15.0" customHeight="1">
      <c r="A50" s="215" t="s">
        <v>904</v>
      </c>
      <c r="B50" s="218">
        <f>'Witch Doctor'!B50*1</f>
        <v>0.5</v>
      </c>
      <c r="C50" s="212">
        <f>1-(1-'Witch Doctor'!B50)^1</f>
        <v>0.5</v>
      </c>
      <c r="E50" s="31"/>
      <c r="F50" s="215" t="s">
        <v>905</v>
      </c>
      <c r="G50" s="218">
        <f>'Witch Doctor'!F50*1</f>
        <v>0.25</v>
      </c>
      <c r="H50" s="212">
        <f>1-(1-'Witch Doctor'!F50)^1</f>
        <v>0.25</v>
      </c>
      <c r="J50" s="31"/>
      <c r="K50" s="215" t="s">
        <v>906</v>
      </c>
      <c r="L50" s="218">
        <f>('Witch Doctor'!J50*1+'Witch Doctor'!J50*2)/2</f>
        <v>0.5</v>
      </c>
      <c r="M50" s="212">
        <f>(1-(1-'Witch Doctor'!J50)^1)+(1-(1-'Witch Doctor'!J50)^2)/2</f>
        <v>0.6111111111</v>
      </c>
      <c r="O50" s="21"/>
      <c r="P50" s="215" t="s">
        <v>907</v>
      </c>
      <c r="Q50" s="218">
        <f>'Witch Doctor'!N50*1</f>
        <v>0.03</v>
      </c>
      <c r="R50" s="212">
        <f>1-(1-'Witch Doctor'!N50)^1</f>
        <v>0.03</v>
      </c>
      <c r="T50" s="21"/>
      <c r="U50" s="215" t="s">
        <v>908</v>
      </c>
      <c r="V50" s="218">
        <f>'Witch Doctor'!R50*1</f>
        <v>0.4</v>
      </c>
      <c r="W50" s="212">
        <f>1-(1-'Witch Doctor'!R50)^1</f>
        <v>0.4</v>
      </c>
      <c r="Y50" s="21"/>
    </row>
    <row r="51" ht="15.0" customHeight="1">
      <c r="A51" s="213" t="s">
        <v>909</v>
      </c>
      <c r="B51" s="219">
        <f>'Witch Doctor'!B51*1</f>
        <v>0.1111111111</v>
      </c>
      <c r="C51" s="214">
        <f>1-(1-'Witch Doctor'!B51)^1</f>
        <v>0.1111111111</v>
      </c>
      <c r="E51" s="31"/>
      <c r="F51" s="213" t="s">
        <v>910</v>
      </c>
      <c r="G51" s="219">
        <f>'Witch Doctor'!F51*2</f>
        <v>0.06</v>
      </c>
      <c r="H51" s="214">
        <f>1-(1-'Witch Doctor'!F51)^2</f>
        <v>0.0591</v>
      </c>
      <c r="J51" s="31"/>
      <c r="K51" s="213" t="s">
        <v>911</v>
      </c>
      <c r="L51" s="219">
        <f>'Witch Doctor'!J51*1</f>
        <v>0.3333333333</v>
      </c>
      <c r="M51" s="214">
        <f>1-(1-'Witch Doctor'!J51)^1</f>
        <v>0.3333333333</v>
      </c>
      <c r="O51" s="21"/>
      <c r="P51" s="213" t="s">
        <v>912</v>
      </c>
      <c r="Q51" s="219">
        <f>'Witch Doctor'!N51*2</f>
        <v>0.06666666667</v>
      </c>
      <c r="R51" s="214">
        <f>1-(1-'Witch Doctor'!N51)^2</f>
        <v>0.06555555556</v>
      </c>
      <c r="T51" s="21"/>
      <c r="U51" s="213" t="s">
        <v>913</v>
      </c>
      <c r="V51" s="219">
        <f>'Witch Doctor'!R51*2</f>
        <v>0.56</v>
      </c>
      <c r="W51" s="214">
        <f>1-(1-'Witch Doctor'!R51)^2</f>
        <v>0.4816</v>
      </c>
      <c r="Y51" s="21"/>
    </row>
    <row r="52" ht="15.0" customHeight="1">
      <c r="A52" s="10"/>
      <c r="B52" s="26"/>
      <c r="C52" s="26"/>
      <c r="D52" s="41"/>
      <c r="E52" s="10"/>
      <c r="F52" s="10"/>
      <c r="G52" s="26"/>
      <c r="H52" s="26"/>
      <c r="I52" s="41"/>
      <c r="J52" s="10"/>
      <c r="K52" s="10"/>
      <c r="L52" s="26"/>
      <c r="M52" s="26"/>
      <c r="N52" s="41"/>
      <c r="O52" s="10"/>
      <c r="P52" s="10"/>
      <c r="Q52" s="10"/>
      <c r="R52" s="10"/>
      <c r="S52" s="48"/>
      <c r="T52" s="12"/>
      <c r="U52" s="12"/>
      <c r="V52" s="12"/>
      <c r="W52" s="12"/>
      <c r="X52" s="48"/>
      <c r="Y52" s="12"/>
    </row>
    <row r="53" ht="15.75" customHeight="1">
      <c r="A53" s="28"/>
      <c r="B53" s="29" t="s">
        <v>338</v>
      </c>
      <c r="C53" s="29" t="s">
        <v>339</v>
      </c>
      <c r="D53" s="30" t="s">
        <v>914</v>
      </c>
      <c r="E53" s="31"/>
      <c r="F53" s="28"/>
      <c r="G53" s="29" t="s">
        <v>338</v>
      </c>
      <c r="H53" s="29" t="s">
        <v>339</v>
      </c>
      <c r="I53" s="30" t="s">
        <v>915</v>
      </c>
      <c r="J53" s="31"/>
      <c r="K53" s="28"/>
      <c r="L53" s="29" t="s">
        <v>338</v>
      </c>
      <c r="M53" s="29" t="s">
        <v>339</v>
      </c>
      <c r="N53" s="30" t="s">
        <v>916</v>
      </c>
      <c r="O53" s="31"/>
      <c r="P53" s="10"/>
      <c r="Q53" s="10"/>
      <c r="R53" s="10"/>
      <c r="S53" s="12"/>
      <c r="T53" s="12"/>
      <c r="U53" s="12"/>
      <c r="V53" s="12"/>
      <c r="W53" s="12"/>
      <c r="X53" s="12"/>
      <c r="Y53" s="12"/>
    </row>
    <row r="54" ht="17.25" customHeight="1">
      <c r="A54" s="208" t="s">
        <v>18</v>
      </c>
      <c r="B54" s="217">
        <f t="shared" ref="B54:C54" si="21">AVERAGE(B55:B60)</f>
        <v>0</v>
      </c>
      <c r="C54" s="209">
        <f t="shared" si="21"/>
        <v>0</v>
      </c>
      <c r="E54" s="31"/>
      <c r="F54" s="208" t="s">
        <v>18</v>
      </c>
      <c r="G54" s="217">
        <f t="shared" ref="G54:H54" si="22">AVERAGE(G55:G60)</f>
        <v>0</v>
      </c>
      <c r="H54" s="209">
        <f t="shared" si="22"/>
        <v>0</v>
      </c>
      <c r="J54" s="31"/>
      <c r="K54" s="208" t="s">
        <v>18</v>
      </c>
      <c r="L54" s="217">
        <f t="shared" ref="L54:M54" si="23">AVERAGE(L55:L60)</f>
        <v>0.06666666667</v>
      </c>
      <c r="M54" s="209">
        <f t="shared" si="23"/>
        <v>0.05731666667</v>
      </c>
      <c r="O54" s="31"/>
      <c r="P54" s="10"/>
      <c r="Q54" s="10"/>
      <c r="R54" s="10"/>
      <c r="S54" s="12"/>
      <c r="T54" s="12"/>
      <c r="U54" s="12"/>
      <c r="V54" s="12"/>
      <c r="W54" s="12"/>
      <c r="X54" s="12"/>
      <c r="Y54" s="12"/>
    </row>
    <row r="55" ht="15.0" customHeight="1">
      <c r="A55" s="210" t="s">
        <v>19</v>
      </c>
      <c r="B55" s="218">
        <f>'Witch Doctor'!B55*1</f>
        <v>0</v>
      </c>
      <c r="C55" s="212">
        <f>1-(1-'Witch Doctor'!B55)^1</f>
        <v>0</v>
      </c>
      <c r="E55" s="31"/>
      <c r="F55" s="210" t="s">
        <v>19</v>
      </c>
      <c r="G55" s="218">
        <f>'Witch Doctor'!F55*1</f>
        <v>0</v>
      </c>
      <c r="H55" s="212">
        <f>1-(1-'Witch Doctor'!F55)^1</f>
        <v>0</v>
      </c>
      <c r="J55" s="31"/>
      <c r="K55" s="210" t="s">
        <v>19</v>
      </c>
      <c r="L55" s="218">
        <f>'Witch Doctor'!J55*1</f>
        <v>0</v>
      </c>
      <c r="M55" s="212">
        <f>1-(1-'Witch Doctor'!J55)^1</f>
        <v>0</v>
      </c>
      <c r="O55" s="31"/>
      <c r="P55" s="10"/>
      <c r="Q55" s="10"/>
      <c r="R55" s="10"/>
      <c r="S55" s="12"/>
      <c r="T55" s="12"/>
      <c r="U55" s="12"/>
      <c r="V55" s="12"/>
      <c r="W55" s="12"/>
      <c r="X55" s="12"/>
      <c r="Y55" s="12"/>
    </row>
    <row r="56" ht="15.0" customHeight="1">
      <c r="A56" s="213" t="s">
        <v>917</v>
      </c>
      <c r="B56" s="219">
        <f>'Witch Doctor'!B56*1</f>
        <v>0</v>
      </c>
      <c r="C56" s="214">
        <f>1-(1-'Witch Doctor'!B56)^1</f>
        <v>0</v>
      </c>
      <c r="E56" s="31"/>
      <c r="F56" s="213" t="s">
        <v>918</v>
      </c>
      <c r="G56" s="219">
        <f>'Witch Doctor'!F56*1</f>
        <v>0</v>
      </c>
      <c r="H56" s="214">
        <f>1-(1-'Witch Doctor'!F56)^1</f>
        <v>0</v>
      </c>
      <c r="J56" s="31"/>
      <c r="K56" s="213" t="s">
        <v>919</v>
      </c>
      <c r="L56" s="219">
        <f>'Witch Doctor'!J56*4</f>
        <v>0.4</v>
      </c>
      <c r="M56" s="214">
        <f>1-(1-'Witch Doctor'!J56)^4</f>
        <v>0.3439</v>
      </c>
      <c r="O56" s="31"/>
      <c r="P56" s="10"/>
      <c r="Q56" s="10"/>
      <c r="R56" s="10"/>
      <c r="S56" s="12"/>
      <c r="T56" s="12"/>
      <c r="U56" s="12"/>
      <c r="V56" s="12"/>
      <c r="W56" s="12"/>
      <c r="X56" s="12"/>
      <c r="Y56" s="12"/>
    </row>
    <row r="57" ht="15.0" customHeight="1">
      <c r="A57" s="215" t="s">
        <v>920</v>
      </c>
      <c r="B57" s="218">
        <f>'Witch Doctor'!B57*1</f>
        <v>0</v>
      </c>
      <c r="C57" s="212">
        <f>1-(1-'Witch Doctor'!B57)^1</f>
        <v>0</v>
      </c>
      <c r="E57" s="31"/>
      <c r="F57" s="215" t="s">
        <v>921</v>
      </c>
      <c r="G57" s="218">
        <f>'Witch Doctor'!F57*1</f>
        <v>0</v>
      </c>
      <c r="H57" s="212">
        <f>1-(1-'Witch Doctor'!F57)^1</f>
        <v>0</v>
      </c>
      <c r="J57" s="31"/>
      <c r="K57" s="215" t="s">
        <v>922</v>
      </c>
      <c r="L57" s="218">
        <f>'Witch Doctor'!J57*1</f>
        <v>0</v>
      </c>
      <c r="M57" s="212">
        <f>1-(1-'Witch Doctor'!J57)^1</f>
        <v>0</v>
      </c>
      <c r="O57" s="31"/>
      <c r="P57" s="10"/>
      <c r="Q57" s="10"/>
      <c r="R57" s="10"/>
      <c r="S57" s="12"/>
      <c r="T57" s="12"/>
      <c r="U57" s="12"/>
      <c r="V57" s="12"/>
      <c r="W57" s="12"/>
      <c r="X57" s="12"/>
      <c r="Y57" s="12"/>
    </row>
    <row r="58" ht="15.0" customHeight="1">
      <c r="A58" s="213" t="s">
        <v>923</v>
      </c>
      <c r="B58" s="219">
        <f>'Witch Doctor'!B58*1</f>
        <v>0</v>
      </c>
      <c r="C58" s="214">
        <f>1-(1-'Witch Doctor'!B58)^1</f>
        <v>0</v>
      </c>
      <c r="E58" s="31"/>
      <c r="F58" s="213" t="s">
        <v>924</v>
      </c>
      <c r="G58" s="219">
        <f>'Witch Doctor'!F58*1</f>
        <v>0</v>
      </c>
      <c r="H58" s="214">
        <f>1-(1-'Witch Doctor'!F58)^1</f>
        <v>0</v>
      </c>
      <c r="J58" s="31"/>
      <c r="K58" s="213" t="s">
        <v>925</v>
      </c>
      <c r="L58" s="219">
        <f>'Witch Doctor'!J58*1</f>
        <v>0</v>
      </c>
      <c r="M58" s="214">
        <f>1-(1-'Witch Doctor'!J58)^1</f>
        <v>0</v>
      </c>
      <c r="O58" s="31"/>
      <c r="P58" s="10"/>
      <c r="Q58" s="10"/>
      <c r="R58" s="10"/>
      <c r="S58" s="12"/>
      <c r="T58" s="12"/>
      <c r="U58" s="12"/>
      <c r="V58" s="12"/>
      <c r="W58" s="12"/>
      <c r="X58" s="12"/>
      <c r="Y58" s="12"/>
    </row>
    <row r="59" ht="15.0" customHeight="1">
      <c r="A59" s="215" t="s">
        <v>926</v>
      </c>
      <c r="B59" s="218">
        <f>'Witch Doctor'!B59*1</f>
        <v>0</v>
      </c>
      <c r="C59" s="212">
        <f>1-(1-'Witch Doctor'!B59)^1</f>
        <v>0</v>
      </c>
      <c r="E59" s="31"/>
      <c r="F59" s="215" t="s">
        <v>927</v>
      </c>
      <c r="G59" s="218">
        <f>'Witch Doctor'!F59*1</f>
        <v>0</v>
      </c>
      <c r="H59" s="212">
        <f>1-(1-'Witch Doctor'!F59)^1</f>
        <v>0</v>
      </c>
      <c r="J59" s="31"/>
      <c r="K59" s="215" t="s">
        <v>928</v>
      </c>
      <c r="L59" s="218">
        <f>'Witch Doctor'!J59*1</f>
        <v>0</v>
      </c>
      <c r="M59" s="212">
        <f>1-(1-'Witch Doctor'!J59)^1</f>
        <v>0</v>
      </c>
      <c r="O59" s="31"/>
      <c r="P59" s="10"/>
      <c r="Q59" s="10"/>
      <c r="R59" s="10"/>
      <c r="S59" s="12"/>
      <c r="T59" s="12"/>
      <c r="U59" s="12"/>
      <c r="V59" s="12"/>
      <c r="W59" s="12"/>
      <c r="X59" s="12"/>
      <c r="Y59" s="12"/>
    </row>
    <row r="60" ht="15.0" customHeight="1">
      <c r="A60" s="213" t="s">
        <v>929</v>
      </c>
      <c r="B60" s="219">
        <f>'Witch Doctor'!B60*1</f>
        <v>0</v>
      </c>
      <c r="C60" s="214">
        <f>1-(1-'Witch Doctor'!B60)^1</f>
        <v>0</v>
      </c>
      <c r="E60" s="31"/>
      <c r="F60" s="213" t="s">
        <v>930</v>
      </c>
      <c r="G60" s="219">
        <f>'Witch Doctor'!F60*1</f>
        <v>0</v>
      </c>
      <c r="H60" s="214">
        <f>1-(1-'Witch Doctor'!F60)^1</f>
        <v>0</v>
      </c>
      <c r="J60" s="31"/>
      <c r="K60" s="213" t="s">
        <v>931</v>
      </c>
      <c r="L60" s="219">
        <f>'Witch Doctor'!J60*1</f>
        <v>0</v>
      </c>
      <c r="M60" s="214">
        <f>1-(1-'Witch Doctor'!J60)^1</f>
        <v>0</v>
      </c>
      <c r="O60" s="31"/>
      <c r="P60" s="10"/>
      <c r="Q60" s="10"/>
      <c r="R60" s="10"/>
      <c r="S60" s="12"/>
      <c r="T60" s="12"/>
      <c r="U60" s="12"/>
      <c r="V60" s="12"/>
      <c r="W60" s="12"/>
      <c r="X60" s="12"/>
      <c r="Y60" s="12"/>
    </row>
    <row r="61" ht="15.0" customHeight="1">
      <c r="A61" s="12"/>
      <c r="B61" s="12"/>
      <c r="C61" s="12"/>
      <c r="D61" s="48"/>
      <c r="E61" s="12"/>
      <c r="F61" s="12"/>
      <c r="G61" s="12"/>
      <c r="H61" s="12"/>
      <c r="I61" s="48"/>
      <c r="J61" s="12"/>
      <c r="K61" s="12"/>
      <c r="L61" s="12"/>
      <c r="M61" s="12"/>
      <c r="N61" s="48"/>
      <c r="O61" s="12"/>
      <c r="P61" s="12"/>
      <c r="Q61" s="12"/>
      <c r="R61" s="12"/>
      <c r="S61" s="12"/>
      <c r="T61" s="12"/>
      <c r="U61" s="12"/>
      <c r="V61" s="12"/>
      <c r="W61" s="12"/>
      <c r="X61" s="12"/>
      <c r="Y61" s="12"/>
    </row>
    <row r="62" ht="15.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ht="15.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ht="15.0"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row>
    <row r="65" ht="17.25" customHeight="1">
      <c r="A65" s="129" t="s">
        <v>944</v>
      </c>
      <c r="U65" s="54"/>
      <c r="V65" s="54"/>
      <c r="W65" s="54"/>
      <c r="X65" s="54"/>
      <c r="Y65" s="54"/>
    </row>
    <row r="66" ht="17.25" customHeight="1">
      <c r="A66" s="129" t="s">
        <v>945</v>
      </c>
      <c r="U66" s="54"/>
      <c r="V66" s="54"/>
      <c r="W66" s="54"/>
      <c r="X66" s="54"/>
      <c r="Y66" s="54"/>
    </row>
    <row r="67" ht="15.0" customHeight="1">
      <c r="A67" s="53" t="s">
        <v>946</v>
      </c>
      <c r="U67" s="54"/>
      <c r="V67" s="54"/>
      <c r="W67" s="54"/>
      <c r="X67" s="54"/>
      <c r="Y67" s="54"/>
    </row>
    <row r="68" ht="15.0" customHeight="1">
      <c r="A68" s="54"/>
      <c r="U68" s="54"/>
      <c r="V68" s="54"/>
      <c r="W68" s="54"/>
      <c r="X68" s="54"/>
      <c r="Y68" s="54"/>
    </row>
  </sheetData>
  <mergeCells count="35">
    <mergeCell ref="A1:Y1"/>
    <mergeCell ref="A2:Y2"/>
    <mergeCell ref="A3:Y3"/>
    <mergeCell ref="B4:F4"/>
    <mergeCell ref="G4:J4"/>
    <mergeCell ref="B5:F5"/>
    <mergeCell ref="G5:K6"/>
    <mergeCell ref="S8:S15"/>
    <mergeCell ref="S17:S24"/>
    <mergeCell ref="S26:S33"/>
    <mergeCell ref="S44:S51"/>
    <mergeCell ref="I17:I24"/>
    <mergeCell ref="I26:I33"/>
    <mergeCell ref="I35:I42"/>
    <mergeCell ref="I44:I51"/>
    <mergeCell ref="I53:I60"/>
    <mergeCell ref="D26:D33"/>
    <mergeCell ref="D35:D42"/>
    <mergeCell ref="D44:D51"/>
    <mergeCell ref="D53:D60"/>
    <mergeCell ref="N35:N42"/>
    <mergeCell ref="N44:N51"/>
    <mergeCell ref="X44:X51"/>
    <mergeCell ref="N53:N60"/>
    <mergeCell ref="A65:T65"/>
    <mergeCell ref="A66:T66"/>
    <mergeCell ref="A67:T67"/>
    <mergeCell ref="A68:T68"/>
    <mergeCell ref="B6:F6"/>
    <mergeCell ref="D8:D15"/>
    <mergeCell ref="I8:I15"/>
    <mergeCell ref="N8:N15"/>
    <mergeCell ref="D17:D24"/>
    <mergeCell ref="N17:N24"/>
    <mergeCell ref="N26:N33"/>
  </mergeCells>
  <hyperlinks>
    <hyperlink r:id="rId1" ref="G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63"/>
    <col customWidth="1" min="2" max="4" width="8.75"/>
    <col customWidth="1" min="5" max="5" width="19.13"/>
    <col customWidth="1" min="6" max="8" width="8.75"/>
    <col customWidth="1" min="9" max="9" width="18.88"/>
    <col customWidth="1" min="10" max="12" width="8.75"/>
    <col customWidth="1" min="13" max="13" width="25.0"/>
    <col customWidth="1" min="14" max="16" width="8.75"/>
    <col customWidth="1" min="17" max="17" width="18.5"/>
    <col customWidth="1" min="18" max="25" width="8.75"/>
  </cols>
  <sheetData>
    <row r="1" ht="23.25" customHeight="1">
      <c r="A1" s="66" t="str">
        <f>Barb!A1</f>
        <v>- OUTDATED -
</v>
      </c>
    </row>
    <row r="2" ht="23.2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3.25" customHeight="1">
      <c r="A3" s="4"/>
      <c r="B3" s="4"/>
      <c r="C3" s="4"/>
      <c r="D3" s="4"/>
      <c r="E3" s="4"/>
      <c r="F3" s="4"/>
      <c r="G3" s="4"/>
      <c r="H3" s="4"/>
      <c r="I3" s="4"/>
      <c r="J3" s="4"/>
      <c r="K3" s="4"/>
      <c r="L3" s="4"/>
      <c r="M3" s="4"/>
      <c r="N3" s="4"/>
      <c r="O3" s="4"/>
      <c r="P3" s="4"/>
      <c r="Q3" s="4"/>
      <c r="R3" s="4"/>
      <c r="S3" s="4"/>
      <c r="T3" s="4"/>
      <c r="U3" s="4"/>
      <c r="V3" s="4"/>
      <c r="W3" s="4"/>
      <c r="X3" s="4"/>
      <c r="Y3" s="4"/>
    </row>
    <row r="4" ht="23.25" customHeight="1">
      <c r="A4" s="80" t="str">
        <f>Barb!A4</f>
        <v>100% tested (2.0.6)</v>
      </c>
      <c r="B4" s="81" t="str">
        <f>Barb!B4</f>
        <v>Proc Coefficients</v>
      </c>
      <c r="C4" s="7"/>
      <c r="D4" s="7"/>
      <c r="E4" s="7"/>
      <c r="F4" s="8"/>
      <c r="G4" s="70" t="str">
        <f>Barb!G4</f>
        <v>Downloadable Sheet:</v>
      </c>
      <c r="H4" s="7"/>
      <c r="I4" s="8"/>
      <c r="J4" s="10"/>
      <c r="K4" s="10"/>
      <c r="L4" s="10"/>
      <c r="M4" s="82" t="str">
        <f>Barb!M4</f>
        <v>Donate</v>
      </c>
      <c r="N4" s="10"/>
      <c r="O4" s="10"/>
      <c r="P4" s="10"/>
      <c r="Q4" s="10"/>
      <c r="R4" s="10"/>
      <c r="S4" s="12"/>
      <c r="T4" s="13"/>
      <c r="U4" s="7"/>
      <c r="V4" s="7"/>
      <c r="W4" s="7"/>
      <c r="X4" s="7"/>
      <c r="Y4" s="7"/>
    </row>
    <row r="5" ht="15.75" customHeight="1">
      <c r="A5" s="83" t="str">
        <f>Barb!A5</f>
        <v>Updated: 7/10/14</v>
      </c>
      <c r="B5" s="84" t="str">
        <f>Barb!B5</f>
        <v>(per hit/tick)</v>
      </c>
      <c r="C5" s="7"/>
      <c r="D5" s="7"/>
      <c r="E5" s="7"/>
      <c r="F5" s="8"/>
      <c r="G5" s="74" t="s">
        <v>8</v>
      </c>
      <c r="H5" s="17"/>
      <c r="I5" s="17"/>
      <c r="J5" s="18"/>
      <c r="K5" s="10"/>
      <c r="L5" s="10"/>
      <c r="M5" s="19" t="s">
        <v>9</v>
      </c>
      <c r="N5" s="20" t="s">
        <v>10</v>
      </c>
      <c r="O5" s="10"/>
      <c r="P5" s="10"/>
      <c r="Q5" s="10"/>
      <c r="R5" s="10"/>
      <c r="S5" s="12"/>
      <c r="T5" s="13"/>
      <c r="U5" s="7"/>
      <c r="V5" s="7"/>
      <c r="W5" s="7"/>
      <c r="X5" s="7"/>
      <c r="Y5" s="7"/>
    </row>
    <row r="6" ht="47.25" customHeight="1">
      <c r="A6" s="21"/>
      <c r="B6" s="220" t="s">
        <v>947</v>
      </c>
      <c r="C6" s="7"/>
      <c r="D6" s="7"/>
      <c r="E6" s="7"/>
      <c r="F6" s="8"/>
      <c r="G6" s="23"/>
      <c r="H6" s="4"/>
      <c r="I6" s="4"/>
      <c r="J6" s="24"/>
      <c r="K6" s="10"/>
      <c r="L6" s="10"/>
      <c r="M6" s="25" t="s">
        <v>948</v>
      </c>
      <c r="N6" s="10"/>
      <c r="O6" s="10"/>
      <c r="P6" s="10"/>
      <c r="Q6" s="10"/>
      <c r="R6" s="10"/>
      <c r="S6" s="12"/>
      <c r="T6" s="13"/>
      <c r="U6" s="7"/>
      <c r="V6" s="7"/>
      <c r="W6" s="7"/>
      <c r="X6" s="7"/>
      <c r="Y6" s="7"/>
    </row>
    <row r="7" ht="15.0" customHeight="1">
      <c r="A7" s="10"/>
      <c r="B7" s="26"/>
      <c r="C7" s="26"/>
      <c r="D7" s="10"/>
      <c r="E7" s="10"/>
      <c r="F7" s="26"/>
      <c r="G7" s="26"/>
      <c r="H7" s="10"/>
      <c r="I7" s="10"/>
      <c r="J7" s="26"/>
      <c r="K7" s="26"/>
      <c r="L7" s="10"/>
      <c r="M7" s="10"/>
      <c r="N7" s="26"/>
      <c r="O7" s="26"/>
      <c r="P7" s="10"/>
      <c r="Q7" s="10"/>
      <c r="R7" s="10"/>
      <c r="S7" s="12"/>
      <c r="T7" s="13"/>
      <c r="U7" s="7"/>
      <c r="V7" s="7"/>
      <c r="W7" s="7"/>
      <c r="X7" s="7"/>
      <c r="Y7" s="7"/>
    </row>
    <row r="8" ht="15.0" customHeight="1">
      <c r="A8" s="28"/>
      <c r="B8" s="29" t="s">
        <v>13</v>
      </c>
      <c r="C8" s="30" t="s">
        <v>949</v>
      </c>
      <c r="D8" s="31"/>
      <c r="E8" s="28"/>
      <c r="F8" s="29" t="s">
        <v>13</v>
      </c>
      <c r="G8" s="30" t="s">
        <v>950</v>
      </c>
      <c r="H8" s="31"/>
      <c r="I8" s="28"/>
      <c r="J8" s="29" t="s">
        <v>13</v>
      </c>
      <c r="K8" s="30" t="s">
        <v>951</v>
      </c>
      <c r="L8" s="31"/>
      <c r="M8" s="28"/>
      <c r="N8" s="29" t="s">
        <v>13</v>
      </c>
      <c r="O8" s="30" t="s">
        <v>952</v>
      </c>
      <c r="P8" s="31"/>
      <c r="Q8" s="10"/>
      <c r="R8" s="10"/>
      <c r="S8" s="12"/>
      <c r="T8" s="13"/>
      <c r="U8" s="7"/>
      <c r="V8" s="7"/>
      <c r="W8" s="7"/>
      <c r="X8" s="7"/>
      <c r="Y8" s="7"/>
    </row>
    <row r="9" ht="17.25" customHeight="1">
      <c r="A9" s="221" t="s">
        <v>18</v>
      </c>
      <c r="B9" s="222">
        <f>AVERAGE(B10:B15)</f>
        <v>0.7673041894</v>
      </c>
      <c r="D9" s="31"/>
      <c r="E9" s="221" t="s">
        <v>18</v>
      </c>
      <c r="F9" s="222">
        <f>AVERAGE(F10:F15)</f>
        <v>0.7361929171</v>
      </c>
      <c r="H9" s="31"/>
      <c r="I9" s="221" t="s">
        <v>18</v>
      </c>
      <c r="J9" s="222">
        <f>AVERAGE(J10:J15)</f>
        <v>0.3077873563</v>
      </c>
      <c r="L9" s="31"/>
      <c r="M9" s="221" t="s">
        <v>18</v>
      </c>
      <c r="N9" s="222">
        <f>AVERAGE(N10:N15)</f>
        <v>0.1555555556</v>
      </c>
      <c r="P9" s="31"/>
      <c r="Q9" s="10"/>
      <c r="R9" s="10"/>
      <c r="S9" s="12"/>
      <c r="T9" s="13"/>
      <c r="U9" s="7"/>
      <c r="V9" s="7"/>
      <c r="W9" s="7"/>
      <c r="X9" s="7"/>
      <c r="Y9" s="7"/>
    </row>
    <row r="10" ht="15.0" customHeight="1">
      <c r="A10" s="223" t="s">
        <v>19</v>
      </c>
      <c r="B10" s="224">
        <v>1.0</v>
      </c>
      <c r="D10" s="31"/>
      <c r="E10" s="223" t="s">
        <v>19</v>
      </c>
      <c r="F10" s="225">
        <f t="shared" ref="F10:F11" si="1">27/29</f>
        <v>0.9310344828</v>
      </c>
      <c r="H10" s="31"/>
      <c r="I10" s="223" t="s">
        <v>19</v>
      </c>
      <c r="J10" s="225">
        <f t="shared" ref="J10:J12" si="2">9/29</f>
        <v>0.3103448276</v>
      </c>
      <c r="L10" s="31"/>
      <c r="M10" s="223" t="s">
        <v>19</v>
      </c>
      <c r="N10" s="225">
        <f>1/4</f>
        <v>0.25</v>
      </c>
      <c r="P10" s="31"/>
      <c r="Q10" s="10"/>
      <c r="R10" s="10"/>
      <c r="S10" s="12"/>
      <c r="T10" s="13"/>
      <c r="U10" s="7"/>
      <c r="V10" s="7"/>
      <c r="W10" s="7"/>
      <c r="X10" s="7"/>
      <c r="Y10" s="7"/>
    </row>
    <row r="11" ht="15.0" customHeight="1">
      <c r="A11" s="226" t="s">
        <v>953</v>
      </c>
      <c r="B11" s="227">
        <v>1.0</v>
      </c>
      <c r="D11" s="31"/>
      <c r="E11" s="226" t="s">
        <v>954</v>
      </c>
      <c r="F11" s="228">
        <f t="shared" si="1"/>
        <v>0.9310344828</v>
      </c>
      <c r="H11" s="31"/>
      <c r="I11" s="226" t="s">
        <v>955</v>
      </c>
      <c r="J11" s="228">
        <f t="shared" si="2"/>
        <v>0.3103448276</v>
      </c>
      <c r="L11" s="31"/>
      <c r="M11" s="226" t="s">
        <v>956</v>
      </c>
      <c r="N11" s="228">
        <f>1/12</f>
        <v>0.08333333333</v>
      </c>
      <c r="P11" s="31"/>
      <c r="Q11" s="10"/>
      <c r="R11" s="10"/>
      <c r="S11" s="12"/>
      <c r="T11" s="13"/>
      <c r="U11" s="7"/>
      <c r="V11" s="7"/>
      <c r="W11" s="7"/>
      <c r="X11" s="7"/>
      <c r="Y11" s="7"/>
    </row>
    <row r="12" ht="15.0" customHeight="1">
      <c r="A12" s="229" t="s">
        <v>957</v>
      </c>
      <c r="B12" s="225">
        <f>47/61</f>
        <v>0.7704918033</v>
      </c>
      <c r="D12" s="31"/>
      <c r="E12" s="229" t="s">
        <v>958</v>
      </c>
      <c r="F12" s="225">
        <f>4/5</f>
        <v>0.8</v>
      </c>
      <c r="H12" s="31"/>
      <c r="I12" s="229" t="s">
        <v>959</v>
      </c>
      <c r="J12" s="225">
        <f t="shared" si="2"/>
        <v>0.3103448276</v>
      </c>
      <c r="L12" s="31"/>
      <c r="M12" s="229" t="s">
        <v>960</v>
      </c>
      <c r="N12" s="225">
        <f t="shared" ref="N12:N14" si="3">1/6</f>
        <v>0.1666666667</v>
      </c>
      <c r="P12" s="31"/>
      <c r="Q12" s="10"/>
      <c r="R12" s="10"/>
      <c r="S12" s="12"/>
      <c r="T12" s="13"/>
      <c r="U12" s="7"/>
      <c r="V12" s="7"/>
      <c r="W12" s="7"/>
      <c r="X12" s="7"/>
      <c r="Y12" s="7"/>
    </row>
    <row r="13" ht="15.0" customHeight="1">
      <c r="A13" s="226" t="s">
        <v>961</v>
      </c>
      <c r="B13" s="228">
        <f>1/3</f>
        <v>0.3333333333</v>
      </c>
      <c r="D13" s="31"/>
      <c r="E13" s="226" t="s">
        <v>962</v>
      </c>
      <c r="F13" s="228">
        <f>77/100</f>
        <v>0.77</v>
      </c>
      <c r="H13" s="31"/>
      <c r="I13" s="226" t="s">
        <v>963</v>
      </c>
      <c r="J13" s="228">
        <f>59/200</f>
        <v>0.295</v>
      </c>
      <c r="L13" s="31"/>
      <c r="M13" s="226" t="s">
        <v>964</v>
      </c>
      <c r="N13" s="228">
        <f t="shared" si="3"/>
        <v>0.1666666667</v>
      </c>
      <c r="P13" s="31"/>
      <c r="Q13" s="10"/>
      <c r="R13" s="10"/>
      <c r="S13" s="12"/>
      <c r="T13" s="13"/>
      <c r="U13" s="7"/>
      <c r="V13" s="7"/>
      <c r="W13" s="7"/>
      <c r="X13" s="7"/>
      <c r="Y13" s="7"/>
    </row>
    <row r="14" ht="15.0" customHeight="1">
      <c r="A14" s="229" t="s">
        <v>965</v>
      </c>
      <c r="B14" s="224">
        <v>1.0</v>
      </c>
      <c r="D14" s="31"/>
      <c r="E14" s="229" t="s">
        <v>966</v>
      </c>
      <c r="F14" s="225">
        <f>27/29</f>
        <v>0.9310344828</v>
      </c>
      <c r="H14" s="31"/>
      <c r="I14" s="229" t="s">
        <v>967</v>
      </c>
      <c r="J14" s="225">
        <f t="shared" ref="J14:J15" si="4">9/29</f>
        <v>0.3103448276</v>
      </c>
      <c r="L14" s="31"/>
      <c r="M14" s="229" t="s">
        <v>968</v>
      </c>
      <c r="N14" s="225">
        <f t="shared" si="3"/>
        <v>0.1666666667</v>
      </c>
      <c r="P14" s="31"/>
      <c r="Q14" s="10"/>
      <c r="R14" s="10"/>
      <c r="S14" s="12"/>
      <c r="T14" s="13"/>
      <c r="U14" s="7"/>
      <c r="V14" s="7"/>
      <c r="W14" s="7"/>
      <c r="X14" s="7"/>
      <c r="Y14" s="7"/>
    </row>
    <row r="15" ht="15.0" customHeight="1">
      <c r="A15" s="226" t="s">
        <v>969</v>
      </c>
      <c r="B15" s="228">
        <f>1/2</f>
        <v>0.5</v>
      </c>
      <c r="D15" s="31"/>
      <c r="E15" s="226" t="s">
        <v>970</v>
      </c>
      <c r="F15" s="228">
        <f>2/37</f>
        <v>0.05405405405</v>
      </c>
      <c r="H15" s="31"/>
      <c r="I15" s="226" t="s">
        <v>971</v>
      </c>
      <c r="J15" s="228">
        <f t="shared" si="4"/>
        <v>0.3103448276</v>
      </c>
      <c r="L15" s="31"/>
      <c r="M15" s="226" t="s">
        <v>972</v>
      </c>
      <c r="N15" s="228">
        <f>1/10</f>
        <v>0.1</v>
      </c>
      <c r="P15" s="31"/>
      <c r="Q15" s="10"/>
      <c r="R15" s="10"/>
      <c r="S15" s="12"/>
      <c r="T15" s="13"/>
      <c r="U15" s="7"/>
      <c r="V15" s="7"/>
      <c r="W15" s="7"/>
      <c r="X15" s="7"/>
      <c r="Y15" s="7"/>
    </row>
    <row r="16" ht="15.0" customHeight="1">
      <c r="A16" s="10"/>
      <c r="B16" s="26"/>
      <c r="C16" s="41"/>
      <c r="D16" s="10"/>
      <c r="E16" s="10"/>
      <c r="F16" s="26"/>
      <c r="G16" s="41"/>
      <c r="H16" s="26"/>
      <c r="I16" s="10"/>
      <c r="J16" s="26"/>
      <c r="K16" s="41"/>
      <c r="L16" s="10"/>
      <c r="M16" s="10"/>
      <c r="N16" s="26"/>
      <c r="O16" s="41"/>
      <c r="P16" s="10"/>
      <c r="Q16" s="10"/>
      <c r="R16" s="10"/>
      <c r="S16" s="12"/>
      <c r="T16" s="13"/>
      <c r="U16" s="7"/>
      <c r="V16" s="7"/>
      <c r="W16" s="7"/>
      <c r="X16" s="7"/>
      <c r="Y16" s="7"/>
    </row>
    <row r="17" ht="15.75" customHeight="1">
      <c r="A17" s="28"/>
      <c r="B17" s="29" t="s">
        <v>13</v>
      </c>
      <c r="C17" s="30" t="s">
        <v>973</v>
      </c>
      <c r="D17" s="31"/>
      <c r="E17" s="28"/>
      <c r="F17" s="29" t="s">
        <v>13</v>
      </c>
      <c r="G17" s="53" t="s">
        <v>506</v>
      </c>
      <c r="H17" s="30" t="s">
        <v>974</v>
      </c>
      <c r="I17" s="113"/>
      <c r="J17" s="29" t="s">
        <v>13</v>
      </c>
      <c r="K17" s="30" t="s">
        <v>975</v>
      </c>
      <c r="L17" s="31"/>
      <c r="M17" s="28"/>
      <c r="N17" s="29" t="s">
        <v>13</v>
      </c>
      <c r="O17" s="30" t="s">
        <v>976</v>
      </c>
      <c r="P17" s="31"/>
      <c r="Q17" s="10"/>
      <c r="R17" s="10"/>
      <c r="S17" s="12"/>
      <c r="T17" s="13"/>
      <c r="U17" s="7"/>
      <c r="V17" s="7"/>
      <c r="W17" s="7"/>
      <c r="X17" s="7"/>
      <c r="Y17" s="7"/>
    </row>
    <row r="18" ht="17.25" customHeight="1">
      <c r="A18" s="221" t="s">
        <v>18</v>
      </c>
      <c r="B18" s="222">
        <f>AVERAGE(B19:B24)</f>
        <v>0.3088888889</v>
      </c>
      <c r="D18" s="31"/>
      <c r="E18" s="221" t="s">
        <v>18</v>
      </c>
      <c r="F18" s="230">
        <f>AVERAGE(F19:F24)</f>
        <v>0.2019588811</v>
      </c>
      <c r="G18" s="222"/>
      <c r="I18" s="231" t="s">
        <v>18</v>
      </c>
      <c r="J18" s="222">
        <f>AVERAGE(J19:J24)</f>
        <v>0.31</v>
      </c>
      <c r="L18" s="31"/>
      <c r="M18" s="221" t="s">
        <v>18</v>
      </c>
      <c r="N18" s="222">
        <f>AVERAGE(N19:N24)</f>
        <v>0.1412037037</v>
      </c>
      <c r="P18" s="31"/>
      <c r="Q18" s="10"/>
      <c r="R18" s="10"/>
      <c r="S18" s="12"/>
      <c r="T18" s="13"/>
      <c r="U18" s="7"/>
      <c r="V18" s="7"/>
      <c r="W18" s="7"/>
      <c r="X18" s="7"/>
      <c r="Y18" s="7"/>
    </row>
    <row r="19" ht="15.0" customHeight="1">
      <c r="A19" s="223" t="s">
        <v>19</v>
      </c>
      <c r="B19" s="225">
        <f t="shared" ref="B19:B22" si="5">1/3</f>
        <v>0.3333333333</v>
      </c>
      <c r="D19" s="31"/>
      <c r="E19" s="223" t="s">
        <v>19</v>
      </c>
      <c r="F19" s="232">
        <f>9/29</f>
        <v>0.3103448276</v>
      </c>
      <c r="G19" s="225"/>
      <c r="I19" s="233" t="s">
        <v>19</v>
      </c>
      <c r="J19" s="225">
        <f t="shared" ref="J19:J20" si="6">1/5</f>
        <v>0.2</v>
      </c>
      <c r="L19" s="31"/>
      <c r="M19" s="223" t="s">
        <v>19</v>
      </c>
      <c r="N19" s="225">
        <f>1/6</f>
        <v>0.1666666667</v>
      </c>
      <c r="P19" s="31"/>
      <c r="Q19" s="10"/>
      <c r="R19" s="10"/>
      <c r="S19" s="12"/>
      <c r="T19" s="13"/>
      <c r="U19" s="7"/>
      <c r="V19" s="7"/>
      <c r="W19" s="7"/>
      <c r="X19" s="7"/>
      <c r="Y19" s="7"/>
    </row>
    <row r="20" ht="15.0" customHeight="1">
      <c r="A20" s="226" t="s">
        <v>977</v>
      </c>
      <c r="B20" s="228">
        <f t="shared" si="5"/>
        <v>0.3333333333</v>
      </c>
      <c r="D20" s="31"/>
      <c r="E20" s="226" t="s">
        <v>978</v>
      </c>
      <c r="F20" s="234">
        <f>19/29</f>
        <v>0.6551724138</v>
      </c>
      <c r="G20" s="228"/>
      <c r="I20" s="235" t="s">
        <v>979</v>
      </c>
      <c r="J20" s="228">
        <f t="shared" si="6"/>
        <v>0.2</v>
      </c>
      <c r="L20" s="31"/>
      <c r="M20" s="226" t="s">
        <v>980</v>
      </c>
      <c r="N20" s="228">
        <f>1/9</f>
        <v>0.1111111111</v>
      </c>
      <c r="P20" s="31"/>
      <c r="Q20" s="10"/>
      <c r="R20" s="10"/>
      <c r="S20" s="12"/>
      <c r="T20" s="13"/>
      <c r="U20" s="7"/>
      <c r="V20" s="7"/>
      <c r="W20" s="7"/>
      <c r="X20" s="7"/>
      <c r="Y20" s="7"/>
    </row>
    <row r="21" ht="15.0" customHeight="1">
      <c r="A21" s="236" t="s">
        <v>981</v>
      </c>
      <c r="B21" s="225">
        <f t="shared" si="5"/>
        <v>0.3333333333</v>
      </c>
      <c r="D21" s="31"/>
      <c r="E21" s="236" t="s">
        <v>982</v>
      </c>
      <c r="F21" s="232">
        <f>9/1000</f>
        <v>0.009</v>
      </c>
      <c r="G21" s="225"/>
      <c r="I21" s="237" t="s">
        <v>983</v>
      </c>
      <c r="J21" s="225">
        <f>3/5</f>
        <v>0.6</v>
      </c>
      <c r="L21" s="31"/>
      <c r="M21" s="236" t="s">
        <v>984</v>
      </c>
      <c r="N21" s="225">
        <f>1/8</f>
        <v>0.125</v>
      </c>
      <c r="P21" s="31"/>
      <c r="Q21" s="10"/>
      <c r="R21" s="10"/>
      <c r="S21" s="12"/>
      <c r="T21" s="13"/>
      <c r="U21" s="7"/>
      <c r="V21" s="7"/>
      <c r="W21" s="7"/>
      <c r="X21" s="7"/>
      <c r="Y21" s="7"/>
    </row>
    <row r="22" ht="15.0" customHeight="1">
      <c r="A22" s="226" t="s">
        <v>985</v>
      </c>
      <c r="B22" s="228">
        <f t="shared" si="5"/>
        <v>0.3333333333</v>
      </c>
      <c r="D22" s="31"/>
      <c r="E22" s="226" t="s">
        <v>986</v>
      </c>
      <c r="F22" s="234">
        <f>1/10</f>
        <v>0.1</v>
      </c>
      <c r="G22" s="228"/>
      <c r="I22" s="235" t="s">
        <v>987</v>
      </c>
      <c r="J22" s="228">
        <f>1/2</f>
        <v>0.5</v>
      </c>
      <c r="L22" s="31"/>
      <c r="M22" s="226" t="s">
        <v>988</v>
      </c>
      <c r="N22" s="228">
        <f>1/6</f>
        <v>0.1666666667</v>
      </c>
      <c r="P22" s="31"/>
      <c r="Q22" s="10"/>
      <c r="R22" s="10"/>
      <c r="S22" s="12"/>
      <c r="T22" s="13"/>
      <c r="U22" s="7"/>
      <c r="V22" s="7"/>
      <c r="W22" s="7"/>
      <c r="X22" s="7"/>
      <c r="Y22" s="7"/>
    </row>
    <row r="23" ht="15.0" customHeight="1">
      <c r="A23" s="236" t="s">
        <v>989</v>
      </c>
      <c r="B23" s="225">
        <f>14/75</f>
        <v>0.1866666667</v>
      </c>
      <c r="D23" s="31"/>
      <c r="E23" s="236" t="s">
        <v>990</v>
      </c>
      <c r="F23" s="232">
        <f>23/328</f>
        <v>0.07012195122</v>
      </c>
      <c r="G23" s="225">
        <f>1/328</f>
        <v>0.003048780488</v>
      </c>
      <c r="I23" s="237" t="s">
        <v>991</v>
      </c>
      <c r="J23" s="225">
        <f>1/5</f>
        <v>0.2</v>
      </c>
      <c r="L23" s="31"/>
      <c r="M23" s="236" t="s">
        <v>992</v>
      </c>
      <c r="N23" s="225">
        <f>1/9</f>
        <v>0.1111111111</v>
      </c>
      <c r="P23" s="31"/>
      <c r="Q23" s="10"/>
      <c r="R23" s="10"/>
      <c r="S23" s="12"/>
      <c r="T23" s="13"/>
      <c r="U23" s="7"/>
      <c r="V23" s="7"/>
      <c r="W23" s="7"/>
      <c r="X23" s="7"/>
      <c r="Y23" s="7"/>
    </row>
    <row r="24" ht="15.0" customHeight="1">
      <c r="A24" s="226" t="s">
        <v>993</v>
      </c>
      <c r="B24" s="228">
        <f>1/3</f>
        <v>0.3333333333</v>
      </c>
      <c r="D24" s="31"/>
      <c r="E24" s="226" t="s">
        <v>994</v>
      </c>
      <c r="F24" s="234">
        <f>10/149</f>
        <v>0.06711409396</v>
      </c>
      <c r="G24" s="228"/>
      <c r="I24" s="235" t="s">
        <v>995</v>
      </c>
      <c r="J24" s="228">
        <f>4/25</f>
        <v>0.16</v>
      </c>
      <c r="L24" s="31"/>
      <c r="M24" s="226" t="s">
        <v>996</v>
      </c>
      <c r="N24" s="228">
        <f>1/6</f>
        <v>0.1666666667</v>
      </c>
      <c r="P24" s="31"/>
      <c r="Q24" s="10"/>
      <c r="R24" s="10"/>
      <c r="S24" s="12"/>
      <c r="T24" s="13"/>
      <c r="U24" s="7"/>
      <c r="V24" s="7"/>
      <c r="W24" s="7"/>
      <c r="X24" s="7"/>
      <c r="Y24" s="7"/>
    </row>
    <row r="25" ht="15.0" customHeight="1">
      <c r="A25" s="71"/>
      <c r="B25" s="26"/>
      <c r="C25" s="41"/>
      <c r="D25" s="26"/>
      <c r="E25" s="71"/>
      <c r="F25" s="26"/>
      <c r="G25" s="26"/>
      <c r="H25" s="51"/>
      <c r="I25" s="71"/>
      <c r="J25" s="26"/>
      <c r="K25" s="41"/>
      <c r="L25" s="10"/>
      <c r="M25" s="71"/>
      <c r="N25" s="26"/>
      <c r="O25" s="41"/>
      <c r="P25" s="10"/>
      <c r="Q25" s="10"/>
      <c r="R25" s="10"/>
      <c r="S25" s="12"/>
      <c r="T25" s="13"/>
      <c r="U25" s="7"/>
      <c r="V25" s="7"/>
      <c r="W25" s="7"/>
      <c r="X25" s="7"/>
      <c r="Y25" s="7"/>
    </row>
    <row r="26" ht="15.75" customHeight="1">
      <c r="A26" s="238"/>
      <c r="B26" s="29" t="s">
        <v>13</v>
      </c>
      <c r="C26" s="53" t="s">
        <v>506</v>
      </c>
      <c r="D26" s="30" t="s">
        <v>997</v>
      </c>
      <c r="E26" s="239"/>
      <c r="F26" s="29" t="s">
        <v>13</v>
      </c>
      <c r="G26" s="30" t="s">
        <v>998</v>
      </c>
      <c r="H26" s="31"/>
      <c r="I26" s="238"/>
      <c r="J26" s="29" t="s">
        <v>13</v>
      </c>
      <c r="K26" s="30" t="s">
        <v>999</v>
      </c>
      <c r="L26" s="31"/>
      <c r="M26" s="238"/>
      <c r="N26" s="29" t="s">
        <v>13</v>
      </c>
      <c r="O26" s="30" t="s">
        <v>1000</v>
      </c>
      <c r="P26" s="31"/>
      <c r="Q26" s="10"/>
      <c r="R26" s="10"/>
      <c r="S26" s="12"/>
      <c r="T26" s="13"/>
      <c r="U26" s="7"/>
      <c r="V26" s="7"/>
      <c r="W26" s="7"/>
      <c r="X26" s="7"/>
      <c r="Y26" s="7"/>
    </row>
    <row r="27" ht="17.25" customHeight="1">
      <c r="A27" s="221" t="s">
        <v>18</v>
      </c>
      <c r="B27" s="230">
        <f>AVERAGE(B28:B33)</f>
        <v>0.1555555556</v>
      </c>
      <c r="C27" s="222"/>
      <c r="E27" s="231" t="s">
        <v>18</v>
      </c>
      <c r="F27" s="222">
        <f>AVERAGE(F28:F33)</f>
        <v>0.01666666667</v>
      </c>
      <c r="H27" s="31"/>
      <c r="I27" s="221" t="s">
        <v>18</v>
      </c>
      <c r="J27" s="222">
        <f>AVERAGE(J28:J33)</f>
        <v>0</v>
      </c>
      <c r="L27" s="31"/>
      <c r="M27" s="221" t="s">
        <v>18</v>
      </c>
      <c r="N27" s="222">
        <f>AVERAGE(N28:N33)</f>
        <v>0.02777777778</v>
      </c>
      <c r="P27" s="31"/>
      <c r="Q27" s="10"/>
      <c r="R27" s="10"/>
      <c r="S27" s="12"/>
      <c r="T27" s="13"/>
      <c r="U27" s="7"/>
      <c r="V27" s="7"/>
      <c r="W27" s="7"/>
      <c r="X27" s="7"/>
      <c r="Y27" s="7"/>
    </row>
    <row r="28" ht="15.0" customHeight="1">
      <c r="A28" s="223" t="s">
        <v>19</v>
      </c>
      <c r="B28" s="232">
        <f t="shared" ref="B28:B30" si="7">1/6</f>
        <v>0.1666666667</v>
      </c>
      <c r="C28" s="225"/>
      <c r="E28" s="233" t="s">
        <v>19</v>
      </c>
      <c r="F28" s="224">
        <v>0.0</v>
      </c>
      <c r="H28" s="31"/>
      <c r="I28" s="223" t="s">
        <v>19</v>
      </c>
      <c r="J28" s="224">
        <v>0.0</v>
      </c>
      <c r="L28" s="31"/>
      <c r="M28" s="223" t="s">
        <v>19</v>
      </c>
      <c r="N28" s="224">
        <v>0.0</v>
      </c>
      <c r="P28" s="31"/>
      <c r="Q28" s="10"/>
      <c r="R28" s="10"/>
      <c r="S28" s="12"/>
      <c r="T28" s="13"/>
      <c r="U28" s="7"/>
      <c r="V28" s="7"/>
      <c r="W28" s="7"/>
      <c r="X28" s="7"/>
      <c r="Y28" s="7"/>
    </row>
    <row r="29" ht="15.0" customHeight="1">
      <c r="A29" s="226" t="s">
        <v>350</v>
      </c>
      <c r="B29" s="234">
        <f t="shared" si="7"/>
        <v>0.1666666667</v>
      </c>
      <c r="C29" s="228"/>
      <c r="E29" s="235" t="s">
        <v>1001</v>
      </c>
      <c r="F29" s="227">
        <v>0.0</v>
      </c>
      <c r="H29" s="31"/>
      <c r="I29" s="226" t="s">
        <v>1002</v>
      </c>
      <c r="J29" s="227">
        <v>0.0</v>
      </c>
      <c r="L29" s="31"/>
      <c r="M29" s="226" t="s">
        <v>1003</v>
      </c>
      <c r="N29" s="227">
        <v>0.0</v>
      </c>
      <c r="P29" s="31"/>
      <c r="Q29" s="10"/>
      <c r="R29" s="10"/>
      <c r="S29" s="12"/>
      <c r="T29" s="13"/>
      <c r="U29" s="7"/>
      <c r="V29" s="7"/>
      <c r="W29" s="7"/>
      <c r="X29" s="7"/>
      <c r="Y29" s="7"/>
    </row>
    <row r="30" ht="15.0" customHeight="1">
      <c r="A30" s="236" t="s">
        <v>1004</v>
      </c>
      <c r="B30" s="232">
        <f t="shared" si="7"/>
        <v>0.1666666667</v>
      </c>
      <c r="C30" s="225"/>
      <c r="E30" s="237" t="s">
        <v>1005</v>
      </c>
      <c r="F30" s="224">
        <v>0.0</v>
      </c>
      <c r="H30" s="31"/>
      <c r="I30" s="236" t="s">
        <v>1006</v>
      </c>
      <c r="J30" s="224">
        <v>0.0</v>
      </c>
      <c r="L30" s="31"/>
      <c r="M30" s="236" t="s">
        <v>1007</v>
      </c>
      <c r="N30" s="224">
        <v>0.0</v>
      </c>
      <c r="P30" s="31"/>
      <c r="Q30" s="10"/>
      <c r="R30" s="10"/>
      <c r="S30" s="12"/>
      <c r="T30" s="13"/>
      <c r="U30" s="7"/>
      <c r="V30" s="7"/>
      <c r="W30" s="7"/>
      <c r="X30" s="7"/>
      <c r="Y30" s="7"/>
    </row>
    <row r="31" ht="15.0" customHeight="1">
      <c r="A31" s="226" t="s">
        <v>1008</v>
      </c>
      <c r="B31" s="234">
        <f>1/10</f>
        <v>0.1</v>
      </c>
      <c r="C31" s="228">
        <f>1/20</f>
        <v>0.05</v>
      </c>
      <c r="E31" s="235" t="s">
        <v>1009</v>
      </c>
      <c r="F31" s="227">
        <v>0.0</v>
      </c>
      <c r="H31" s="31"/>
      <c r="I31" s="226" t="s">
        <v>1010</v>
      </c>
      <c r="J31" s="227">
        <v>0.0</v>
      </c>
      <c r="L31" s="31"/>
      <c r="M31" s="226" t="s">
        <v>1011</v>
      </c>
      <c r="N31" s="227">
        <v>0.0</v>
      </c>
      <c r="P31" s="31"/>
      <c r="Q31" s="10"/>
      <c r="R31" s="10"/>
      <c r="S31" s="12"/>
      <c r="T31" s="13"/>
      <c r="U31" s="7"/>
      <c r="V31" s="7"/>
      <c r="W31" s="7"/>
      <c r="X31" s="7"/>
      <c r="Y31" s="7"/>
    </row>
    <row r="32" ht="15.0" customHeight="1">
      <c r="A32" s="236" t="s">
        <v>1012</v>
      </c>
      <c r="B32" s="232">
        <f t="shared" ref="B32:B33" si="8">1/6</f>
        <v>0.1666666667</v>
      </c>
      <c r="C32" s="225"/>
      <c r="E32" s="237" t="s">
        <v>1013</v>
      </c>
      <c r="F32" s="224">
        <v>0.0</v>
      </c>
      <c r="H32" s="31"/>
      <c r="I32" s="236" t="s">
        <v>1014</v>
      </c>
      <c r="J32" s="224">
        <v>0.0</v>
      </c>
      <c r="L32" s="31"/>
      <c r="M32" s="236" t="s">
        <v>1015</v>
      </c>
      <c r="N32" s="224">
        <v>0.0</v>
      </c>
      <c r="P32" s="31"/>
      <c r="Q32" s="10"/>
      <c r="R32" s="10"/>
      <c r="S32" s="12"/>
      <c r="T32" s="13"/>
      <c r="U32" s="7"/>
      <c r="V32" s="7"/>
      <c r="W32" s="7"/>
      <c r="X32" s="7"/>
      <c r="Y32" s="7"/>
    </row>
    <row r="33" ht="15.0" customHeight="1">
      <c r="A33" s="226" t="s">
        <v>1016</v>
      </c>
      <c r="B33" s="234">
        <f t="shared" si="8"/>
        <v>0.1666666667</v>
      </c>
      <c r="C33" s="240"/>
      <c r="E33" s="235" t="s">
        <v>1017</v>
      </c>
      <c r="F33" s="228">
        <f>1/10</f>
        <v>0.1</v>
      </c>
      <c r="H33" s="31"/>
      <c r="I33" s="226" t="s">
        <v>1018</v>
      </c>
      <c r="J33" s="227">
        <v>0.0</v>
      </c>
      <c r="L33" s="31"/>
      <c r="M33" s="226" t="s">
        <v>1019</v>
      </c>
      <c r="N33" s="228">
        <f>1/6</f>
        <v>0.1666666667</v>
      </c>
      <c r="P33" s="31"/>
      <c r="Q33" s="10"/>
      <c r="R33" s="10"/>
      <c r="S33" s="12"/>
      <c r="T33" s="13"/>
      <c r="U33" s="7"/>
      <c r="V33" s="7"/>
      <c r="W33" s="7"/>
      <c r="X33" s="7"/>
      <c r="Y33" s="7"/>
    </row>
    <row r="34" ht="15.0" customHeight="1">
      <c r="A34" s="71"/>
      <c r="B34" s="26"/>
      <c r="C34" s="41"/>
      <c r="D34" s="51"/>
      <c r="E34" s="71"/>
      <c r="F34" s="26"/>
      <c r="G34" s="41"/>
      <c r="H34" s="10"/>
      <c r="I34" s="71"/>
      <c r="J34" s="26"/>
      <c r="K34" s="41"/>
      <c r="L34" s="10"/>
      <c r="M34" s="71"/>
      <c r="N34" s="26"/>
      <c r="O34" s="41"/>
      <c r="P34" s="10"/>
      <c r="Q34" s="10"/>
      <c r="R34" s="26"/>
      <c r="S34" s="27"/>
      <c r="T34" s="13"/>
      <c r="U34" s="7"/>
      <c r="V34" s="7"/>
      <c r="W34" s="7"/>
      <c r="X34" s="7"/>
      <c r="Y34" s="7"/>
    </row>
    <row r="35" ht="15.75" customHeight="1">
      <c r="A35" s="238"/>
      <c r="B35" s="29" t="s">
        <v>13</v>
      </c>
      <c r="C35" s="30" t="s">
        <v>1020</v>
      </c>
      <c r="D35" s="31"/>
      <c r="E35" s="238"/>
      <c r="F35" s="29" t="s">
        <v>13</v>
      </c>
      <c r="G35" s="30" t="s">
        <v>1021</v>
      </c>
      <c r="H35" s="31"/>
      <c r="I35" s="238"/>
      <c r="J35" s="29" t="s">
        <v>13</v>
      </c>
      <c r="K35" s="30" t="s">
        <v>1022</v>
      </c>
      <c r="L35" s="31"/>
      <c r="M35" s="238"/>
      <c r="N35" s="29" t="s">
        <v>13</v>
      </c>
      <c r="O35" s="30" t="s">
        <v>1023</v>
      </c>
      <c r="P35" s="97"/>
      <c r="Q35" s="28"/>
      <c r="R35" s="29" t="s">
        <v>13</v>
      </c>
      <c r="S35" s="43" t="s">
        <v>1024</v>
      </c>
      <c r="T35" s="96"/>
      <c r="U35" s="7"/>
      <c r="V35" s="7"/>
      <c r="W35" s="7"/>
      <c r="X35" s="7"/>
      <c r="Y35" s="7"/>
    </row>
    <row r="36" ht="17.25" customHeight="1">
      <c r="A36" s="221" t="s">
        <v>18</v>
      </c>
      <c r="B36" s="222">
        <f>AVERAGE(B37:B42)</f>
        <v>0.2083333333</v>
      </c>
      <c r="D36" s="31"/>
      <c r="E36" s="221" t="s">
        <v>18</v>
      </c>
      <c r="F36" s="222">
        <f>AVERAGE(F37:F42)</f>
        <v>0.1353807471</v>
      </c>
      <c r="H36" s="31"/>
      <c r="I36" s="221" t="s">
        <v>18</v>
      </c>
      <c r="J36" s="222">
        <f>AVERAGE(J37:J42)</f>
        <v>0</v>
      </c>
      <c r="L36" s="31"/>
      <c r="M36" s="221" t="s">
        <v>18</v>
      </c>
      <c r="N36" s="222">
        <f>AVERAGE(N37:N42)</f>
        <v>0.06057451096</v>
      </c>
      <c r="P36" s="101"/>
      <c r="Q36" s="221" t="s">
        <v>18</v>
      </c>
      <c r="R36" s="222">
        <f>AVERAGE(R37:R42)</f>
        <v>0.01208333333</v>
      </c>
      <c r="T36" s="96"/>
      <c r="U36" s="7"/>
      <c r="V36" s="7"/>
      <c r="W36" s="7"/>
      <c r="X36" s="7"/>
      <c r="Y36" s="7"/>
    </row>
    <row r="37" ht="15.0" customHeight="1">
      <c r="A37" s="223" t="s">
        <v>19</v>
      </c>
      <c r="B37" s="225">
        <f>1/5</f>
        <v>0.2</v>
      </c>
      <c r="D37" s="31"/>
      <c r="E37" s="223" t="s">
        <v>19</v>
      </c>
      <c r="F37" s="225">
        <f t="shared" ref="F37:F40" si="9">5/32</f>
        <v>0.15625</v>
      </c>
      <c r="H37" s="31"/>
      <c r="I37" s="223" t="s">
        <v>19</v>
      </c>
      <c r="J37" s="224">
        <v>0.0</v>
      </c>
      <c r="L37" s="31"/>
      <c r="M37" s="223" t="s">
        <v>19</v>
      </c>
      <c r="N37" s="225">
        <f>1/16</f>
        <v>0.0625</v>
      </c>
      <c r="P37" s="101"/>
      <c r="Q37" s="223" t="s">
        <v>19</v>
      </c>
      <c r="R37" s="225">
        <f t="shared" ref="R37:R41" si="10">1/80</f>
        <v>0.0125</v>
      </c>
      <c r="T37" s="96"/>
      <c r="U37" s="7"/>
      <c r="V37" s="7"/>
      <c r="W37" s="7"/>
      <c r="X37" s="7"/>
      <c r="Y37" s="7"/>
    </row>
    <row r="38" ht="15.0" customHeight="1">
      <c r="A38" s="226" t="s">
        <v>1025</v>
      </c>
      <c r="B38" s="228">
        <f>1/4</f>
        <v>0.25</v>
      </c>
      <c r="D38" s="31"/>
      <c r="E38" s="226" t="s">
        <v>1026</v>
      </c>
      <c r="F38" s="228">
        <f t="shared" si="9"/>
        <v>0.15625</v>
      </c>
      <c r="H38" s="31"/>
      <c r="I38" s="226" t="s">
        <v>1027</v>
      </c>
      <c r="J38" s="227">
        <v>0.0</v>
      </c>
      <c r="L38" s="31"/>
      <c r="M38" s="226" t="s">
        <v>1028</v>
      </c>
      <c r="N38" s="228">
        <f>1/24</f>
        <v>0.04166666667</v>
      </c>
      <c r="P38" s="101"/>
      <c r="Q38" s="226" t="s">
        <v>1029</v>
      </c>
      <c r="R38" s="228">
        <f t="shared" si="10"/>
        <v>0.0125</v>
      </c>
      <c r="T38" s="96"/>
      <c r="U38" s="7"/>
      <c r="V38" s="7"/>
      <c r="W38" s="7"/>
      <c r="X38" s="7"/>
      <c r="Y38" s="7"/>
    </row>
    <row r="39" ht="15.0" customHeight="1">
      <c r="A39" s="236" t="s">
        <v>1030</v>
      </c>
      <c r="B39" s="225">
        <f t="shared" ref="B39:B42" si="11">1/5</f>
        <v>0.2</v>
      </c>
      <c r="D39" s="31"/>
      <c r="E39" s="236" t="s">
        <v>1031</v>
      </c>
      <c r="F39" s="225">
        <f t="shared" si="9"/>
        <v>0.15625</v>
      </c>
      <c r="H39" s="31"/>
      <c r="I39" s="236" t="s">
        <v>1032</v>
      </c>
      <c r="J39" s="224">
        <v>0.0</v>
      </c>
      <c r="L39" s="31"/>
      <c r="M39" s="236" t="s">
        <v>1033</v>
      </c>
      <c r="N39" s="225">
        <f t="shared" ref="N39:N40" si="12">1/16</f>
        <v>0.0625</v>
      </c>
      <c r="P39" s="101"/>
      <c r="Q39" s="229" t="s">
        <v>1034</v>
      </c>
      <c r="R39" s="225">
        <f t="shared" si="10"/>
        <v>0.0125</v>
      </c>
      <c r="T39" s="96"/>
      <c r="U39" s="7"/>
      <c r="V39" s="7"/>
      <c r="W39" s="7"/>
      <c r="X39" s="7"/>
      <c r="Y39" s="7"/>
    </row>
    <row r="40" ht="15.0" customHeight="1">
      <c r="A40" s="226" t="s">
        <v>1035</v>
      </c>
      <c r="B40" s="228">
        <f t="shared" si="11"/>
        <v>0.2</v>
      </c>
      <c r="D40" s="31"/>
      <c r="E40" s="226" t="s">
        <v>1036</v>
      </c>
      <c r="F40" s="228">
        <f t="shared" si="9"/>
        <v>0.15625</v>
      </c>
      <c r="H40" s="31"/>
      <c r="I40" s="226" t="s">
        <v>1037</v>
      </c>
      <c r="J40" s="227">
        <v>0.0</v>
      </c>
      <c r="L40" s="31"/>
      <c r="M40" s="226" t="s">
        <v>1038</v>
      </c>
      <c r="N40" s="228">
        <f t="shared" si="12"/>
        <v>0.0625</v>
      </c>
      <c r="P40" s="101"/>
      <c r="Q40" s="226" t="s">
        <v>1039</v>
      </c>
      <c r="R40" s="228">
        <f t="shared" si="10"/>
        <v>0.0125</v>
      </c>
      <c r="T40" s="96"/>
      <c r="U40" s="7"/>
      <c r="V40" s="7"/>
      <c r="W40" s="7"/>
      <c r="X40" s="7"/>
      <c r="Y40" s="7"/>
    </row>
    <row r="41" ht="15.0" customHeight="1">
      <c r="A41" s="236" t="s">
        <v>1040</v>
      </c>
      <c r="B41" s="225">
        <f t="shared" si="11"/>
        <v>0.2</v>
      </c>
      <c r="D41" s="31"/>
      <c r="E41" s="236" t="s">
        <v>1041</v>
      </c>
      <c r="F41" s="225">
        <f>9/290</f>
        <v>0.03103448276</v>
      </c>
      <c r="H41" s="31"/>
      <c r="I41" s="236" t="s">
        <v>1042</v>
      </c>
      <c r="J41" s="224">
        <v>0.0</v>
      </c>
      <c r="L41" s="31"/>
      <c r="M41" s="236" t="s">
        <v>1043</v>
      </c>
      <c r="N41" s="225">
        <f>2/81</f>
        <v>0.02469135802</v>
      </c>
      <c r="P41" s="101"/>
      <c r="Q41" s="229" t="s">
        <v>1044</v>
      </c>
      <c r="R41" s="225">
        <f t="shared" si="10"/>
        <v>0.0125</v>
      </c>
      <c r="T41" s="96"/>
      <c r="U41" s="7"/>
      <c r="V41" s="7"/>
      <c r="W41" s="7"/>
      <c r="X41" s="7"/>
      <c r="Y41" s="7"/>
    </row>
    <row r="42" ht="15.0" customHeight="1">
      <c r="A42" s="226" t="s">
        <v>1045</v>
      </c>
      <c r="B42" s="228">
        <f t="shared" si="11"/>
        <v>0.2</v>
      </c>
      <c r="D42" s="31"/>
      <c r="E42" s="226" t="s">
        <v>1046</v>
      </c>
      <c r="F42" s="228">
        <f>5/32</f>
        <v>0.15625</v>
      </c>
      <c r="H42" s="31"/>
      <c r="I42" s="226" t="s">
        <v>1047</v>
      </c>
      <c r="J42" s="227">
        <v>0.0</v>
      </c>
      <c r="L42" s="31"/>
      <c r="M42" s="226" t="s">
        <v>1048</v>
      </c>
      <c r="N42" s="228">
        <f>8/73</f>
        <v>0.1095890411</v>
      </c>
      <c r="P42" s="24"/>
      <c r="Q42" s="226" t="s">
        <v>1049</v>
      </c>
      <c r="R42" s="228">
        <f>1/100</f>
        <v>0.01</v>
      </c>
      <c r="T42" s="96"/>
      <c r="U42" s="7"/>
      <c r="V42" s="7"/>
      <c r="W42" s="7"/>
      <c r="X42" s="7"/>
      <c r="Y42" s="7"/>
    </row>
    <row r="43" ht="15.0" customHeight="1">
      <c r="A43" s="71"/>
      <c r="B43" s="26"/>
      <c r="C43" s="41"/>
      <c r="D43" s="10"/>
      <c r="E43" s="71"/>
      <c r="F43" s="26"/>
      <c r="G43" s="41"/>
      <c r="H43" s="10"/>
      <c r="I43" s="71"/>
      <c r="J43" s="26"/>
      <c r="K43" s="41"/>
      <c r="L43" s="10"/>
      <c r="M43" s="71"/>
      <c r="N43" s="26"/>
      <c r="O43" s="41"/>
      <c r="P43" s="10"/>
      <c r="Q43" s="10"/>
      <c r="R43" s="26"/>
      <c r="S43" s="42"/>
      <c r="T43" s="13"/>
      <c r="U43" s="7"/>
      <c r="V43" s="7"/>
      <c r="W43" s="7"/>
      <c r="X43" s="7"/>
      <c r="Y43" s="7"/>
    </row>
    <row r="44" ht="15.75" customHeight="1">
      <c r="A44" s="238"/>
      <c r="B44" s="29" t="s">
        <v>13</v>
      </c>
      <c r="C44" s="30" t="s">
        <v>1050</v>
      </c>
      <c r="D44" s="31"/>
      <c r="E44" s="238"/>
      <c r="F44" s="29" t="s">
        <v>13</v>
      </c>
      <c r="G44" s="30" t="s">
        <v>1051</v>
      </c>
      <c r="H44" s="31"/>
      <c r="I44" s="238"/>
      <c r="J44" s="29" t="s">
        <v>13</v>
      </c>
      <c r="K44" s="30" t="s">
        <v>1052</v>
      </c>
      <c r="L44" s="31"/>
      <c r="M44" s="238"/>
      <c r="N44" s="29" t="s">
        <v>13</v>
      </c>
      <c r="O44" s="30" t="s">
        <v>1053</v>
      </c>
      <c r="P44" s="31"/>
      <c r="Q44" s="28"/>
      <c r="R44" s="29" t="s">
        <v>13</v>
      </c>
      <c r="S44" s="43" t="s">
        <v>1054</v>
      </c>
      <c r="T44" s="96"/>
      <c r="U44" s="7"/>
      <c r="V44" s="7"/>
      <c r="W44" s="7"/>
      <c r="X44" s="7"/>
      <c r="Y44" s="7"/>
    </row>
    <row r="45" ht="17.25" customHeight="1">
      <c r="A45" s="221" t="s">
        <v>18</v>
      </c>
      <c r="B45" s="222">
        <f>AVERAGE(B46:B51)</f>
        <v>0.02083333333</v>
      </c>
      <c r="D45" s="31"/>
      <c r="E45" s="221" t="s">
        <v>18</v>
      </c>
      <c r="F45" s="222">
        <f>AVERAGE(F46:F51)</f>
        <v>0.1</v>
      </c>
      <c r="H45" s="31"/>
      <c r="I45" s="221" t="s">
        <v>18</v>
      </c>
      <c r="J45" s="222">
        <f>AVERAGE(J46:J51)</f>
        <v>0</v>
      </c>
      <c r="L45" s="31"/>
      <c r="M45" s="221" t="s">
        <v>18</v>
      </c>
      <c r="N45" s="222">
        <f>AVERAGE(N46:N51)</f>
        <v>0</v>
      </c>
      <c r="P45" s="31"/>
      <c r="Q45" s="221" t="s">
        <v>18</v>
      </c>
      <c r="R45" s="222">
        <f>AVERAGE(R46:R51)</f>
        <v>0</v>
      </c>
      <c r="T45" s="96"/>
      <c r="U45" s="7"/>
      <c r="V45" s="7"/>
      <c r="W45" s="7"/>
      <c r="X45" s="7"/>
      <c r="Y45" s="7"/>
    </row>
    <row r="46" ht="15.0" customHeight="1">
      <c r="A46" s="223" t="s">
        <v>19</v>
      </c>
      <c r="B46" s="224">
        <v>0.0</v>
      </c>
      <c r="D46" s="31"/>
      <c r="E46" s="223" t="s">
        <v>19</v>
      </c>
      <c r="F46" s="225">
        <f t="shared" ref="F46:F51" si="13">1/10</f>
        <v>0.1</v>
      </c>
      <c r="H46" s="31"/>
      <c r="I46" s="223" t="s">
        <v>19</v>
      </c>
      <c r="J46" s="224">
        <v>0.0</v>
      </c>
      <c r="L46" s="31"/>
      <c r="M46" s="223" t="s">
        <v>19</v>
      </c>
      <c r="N46" s="224">
        <v>0.0</v>
      </c>
      <c r="P46" s="31"/>
      <c r="Q46" s="223" t="s">
        <v>19</v>
      </c>
      <c r="R46" s="224">
        <v>0.0</v>
      </c>
      <c r="T46" s="96"/>
      <c r="U46" s="7"/>
      <c r="V46" s="7"/>
      <c r="W46" s="7"/>
      <c r="X46" s="7"/>
      <c r="Y46" s="7"/>
    </row>
    <row r="47" ht="15.0" customHeight="1">
      <c r="A47" s="226" t="s">
        <v>1055</v>
      </c>
      <c r="B47" s="227">
        <v>0.0</v>
      </c>
      <c r="D47" s="31"/>
      <c r="E47" s="226" t="s">
        <v>1056</v>
      </c>
      <c r="F47" s="228">
        <f t="shared" si="13"/>
        <v>0.1</v>
      </c>
      <c r="H47" s="31"/>
      <c r="I47" s="226" t="s">
        <v>349</v>
      </c>
      <c r="J47" s="227">
        <v>0.0</v>
      </c>
      <c r="L47" s="31"/>
      <c r="M47" s="226" t="s">
        <v>1057</v>
      </c>
      <c r="N47" s="227">
        <v>0.0</v>
      </c>
      <c r="P47" s="31"/>
      <c r="Q47" s="226" t="s">
        <v>1058</v>
      </c>
      <c r="R47" s="227">
        <v>0.0</v>
      </c>
      <c r="T47" s="96"/>
      <c r="U47" s="7"/>
      <c r="V47" s="7"/>
      <c r="W47" s="7"/>
      <c r="X47" s="7"/>
      <c r="Y47" s="7"/>
    </row>
    <row r="48" ht="15.0" customHeight="1">
      <c r="A48" s="236" t="s">
        <v>1059</v>
      </c>
      <c r="B48" s="224">
        <v>0.0</v>
      </c>
      <c r="D48" s="31"/>
      <c r="E48" s="236" t="s">
        <v>1060</v>
      </c>
      <c r="F48" s="225">
        <f t="shared" si="13"/>
        <v>0.1</v>
      </c>
      <c r="H48" s="31"/>
      <c r="I48" s="236" t="s">
        <v>1061</v>
      </c>
      <c r="J48" s="224">
        <v>0.0</v>
      </c>
      <c r="L48" s="31"/>
      <c r="M48" s="236" t="s">
        <v>1062</v>
      </c>
      <c r="N48" s="224">
        <v>0.0</v>
      </c>
      <c r="P48" s="31"/>
      <c r="Q48" s="229" t="s">
        <v>1063</v>
      </c>
      <c r="R48" s="224">
        <v>0.0</v>
      </c>
      <c r="T48" s="96"/>
      <c r="U48" s="7"/>
      <c r="V48" s="7"/>
      <c r="W48" s="7"/>
      <c r="X48" s="7"/>
      <c r="Y48" s="7"/>
    </row>
    <row r="49" ht="15.0" customHeight="1">
      <c r="A49" s="226" t="s">
        <v>1064</v>
      </c>
      <c r="B49" s="227">
        <v>0.0</v>
      </c>
      <c r="D49" s="31"/>
      <c r="E49" s="226" t="s">
        <v>1065</v>
      </c>
      <c r="F49" s="228">
        <f t="shared" si="13"/>
        <v>0.1</v>
      </c>
      <c r="H49" s="31"/>
      <c r="I49" s="226" t="s">
        <v>1066</v>
      </c>
      <c r="J49" s="227">
        <v>0.0</v>
      </c>
      <c r="L49" s="31"/>
      <c r="M49" s="226" t="s">
        <v>1067</v>
      </c>
      <c r="N49" s="227">
        <v>0.0</v>
      </c>
      <c r="P49" s="31"/>
      <c r="Q49" s="226" t="s">
        <v>1068</v>
      </c>
      <c r="R49" s="227">
        <v>0.0</v>
      </c>
      <c r="T49" s="96"/>
      <c r="U49" s="7"/>
      <c r="V49" s="7"/>
      <c r="W49" s="7"/>
      <c r="X49" s="7"/>
      <c r="Y49" s="7"/>
    </row>
    <row r="50" ht="15.0" customHeight="1">
      <c r="A50" s="236" t="s">
        <v>1069</v>
      </c>
      <c r="B50" s="224">
        <v>0.0</v>
      </c>
      <c r="D50" s="31"/>
      <c r="E50" s="236" t="s">
        <v>1070</v>
      </c>
      <c r="F50" s="225">
        <f t="shared" si="13"/>
        <v>0.1</v>
      </c>
      <c r="H50" s="31"/>
      <c r="I50" s="236" t="s">
        <v>1071</v>
      </c>
      <c r="J50" s="224">
        <v>0.0</v>
      </c>
      <c r="L50" s="31"/>
      <c r="M50" s="236" t="s">
        <v>1072</v>
      </c>
      <c r="N50" s="224">
        <v>0.0</v>
      </c>
      <c r="P50" s="31"/>
      <c r="Q50" s="229" t="s">
        <v>1073</v>
      </c>
      <c r="R50" s="224">
        <v>0.0</v>
      </c>
      <c r="T50" s="96"/>
      <c r="U50" s="7"/>
      <c r="V50" s="7"/>
      <c r="W50" s="7"/>
      <c r="X50" s="7"/>
      <c r="Y50" s="7"/>
    </row>
    <row r="51" ht="15.0" customHeight="1">
      <c r="A51" s="226" t="s">
        <v>1074</v>
      </c>
      <c r="B51" s="228">
        <f>1/8</f>
        <v>0.125</v>
      </c>
      <c r="D51" s="31"/>
      <c r="E51" s="226" t="s">
        <v>1075</v>
      </c>
      <c r="F51" s="228">
        <f t="shared" si="13"/>
        <v>0.1</v>
      </c>
      <c r="H51" s="31"/>
      <c r="I51" s="226" t="s">
        <v>1076</v>
      </c>
      <c r="J51" s="227">
        <v>0.0</v>
      </c>
      <c r="L51" s="31"/>
      <c r="M51" s="226" t="s">
        <v>1077</v>
      </c>
      <c r="N51" s="227">
        <v>0.0</v>
      </c>
      <c r="P51" s="31"/>
      <c r="Q51" s="226" t="s">
        <v>1078</v>
      </c>
      <c r="R51" s="227">
        <v>0.0</v>
      </c>
      <c r="T51" s="96"/>
      <c r="U51" s="7"/>
      <c r="V51" s="7"/>
      <c r="W51" s="7"/>
      <c r="X51" s="7"/>
      <c r="Y51" s="7"/>
    </row>
    <row r="52" ht="15.0" customHeight="1">
      <c r="A52" s="71"/>
      <c r="B52" s="26"/>
      <c r="C52" s="41"/>
      <c r="D52" s="10"/>
      <c r="E52" s="71"/>
      <c r="F52" s="26"/>
      <c r="G52" s="41"/>
      <c r="H52" s="10"/>
      <c r="I52" s="71"/>
      <c r="J52" s="26"/>
      <c r="K52" s="41"/>
      <c r="L52" s="10"/>
      <c r="M52" s="71"/>
      <c r="N52" s="26"/>
      <c r="O52" s="41"/>
      <c r="P52" s="10"/>
      <c r="Q52" s="10"/>
      <c r="R52" s="10"/>
      <c r="S52" s="48"/>
      <c r="T52" s="13"/>
      <c r="U52" s="7"/>
      <c r="V52" s="7"/>
      <c r="W52" s="7"/>
      <c r="X52" s="7"/>
      <c r="Y52" s="7"/>
    </row>
    <row r="53" ht="15.75" customHeight="1">
      <c r="A53" s="238"/>
      <c r="B53" s="29" t="s">
        <v>13</v>
      </c>
      <c r="C53" s="30" t="s">
        <v>1079</v>
      </c>
      <c r="D53" s="31"/>
      <c r="E53" s="238"/>
      <c r="F53" s="29" t="s">
        <v>13</v>
      </c>
      <c r="G53" s="30" t="s">
        <v>1080</v>
      </c>
      <c r="H53" s="31"/>
      <c r="I53" s="238"/>
      <c r="J53" s="29" t="s">
        <v>13</v>
      </c>
      <c r="K53" s="30" t="s">
        <v>1081</v>
      </c>
      <c r="L53" s="31"/>
      <c r="M53" s="238"/>
      <c r="N53" s="29" t="s">
        <v>13</v>
      </c>
      <c r="O53" s="30" t="s">
        <v>1082</v>
      </c>
      <c r="P53" s="31"/>
      <c r="Q53" s="10"/>
      <c r="R53" s="10"/>
      <c r="S53" s="12"/>
      <c r="T53" s="13"/>
      <c r="U53" s="7"/>
      <c r="V53" s="7"/>
      <c r="W53" s="7"/>
      <c r="X53" s="7"/>
      <c r="Y53" s="7"/>
    </row>
    <row r="54" ht="17.25" customHeight="1">
      <c r="A54" s="221" t="s">
        <v>18</v>
      </c>
      <c r="B54" s="222">
        <f>AVERAGE(B55:B60)</f>
        <v>0.03288888889</v>
      </c>
      <c r="D54" s="31"/>
      <c r="E54" s="221" t="s">
        <v>18</v>
      </c>
      <c r="F54" s="222">
        <f>AVERAGE(F55:F60)</f>
        <v>0</v>
      </c>
      <c r="H54" s="31"/>
      <c r="I54" s="221" t="s">
        <v>18</v>
      </c>
      <c r="J54" s="222">
        <f>AVERAGE(J55:J60)</f>
        <v>0.22</v>
      </c>
      <c r="L54" s="31"/>
      <c r="M54" s="221" t="s">
        <v>18</v>
      </c>
      <c r="N54" s="222">
        <f>AVERAGE(N55:N60)</f>
        <v>0.02579365079</v>
      </c>
      <c r="P54" s="31"/>
      <c r="Q54" s="10"/>
      <c r="R54" s="10"/>
      <c r="S54" s="12"/>
      <c r="T54" s="13"/>
      <c r="U54" s="7"/>
      <c r="V54" s="7"/>
      <c r="W54" s="7"/>
      <c r="X54" s="7"/>
      <c r="Y54" s="7"/>
    </row>
    <row r="55" ht="15.0" customHeight="1">
      <c r="A55" s="223" t="s">
        <v>19</v>
      </c>
      <c r="B55" s="225">
        <f t="shared" ref="B55:B58" si="14">1/25</f>
        <v>0.04</v>
      </c>
      <c r="D55" s="31"/>
      <c r="E55" s="223" t="s">
        <v>19</v>
      </c>
      <c r="F55" s="224">
        <v>0.0</v>
      </c>
      <c r="H55" s="31"/>
      <c r="I55" s="223" t="s">
        <v>19</v>
      </c>
      <c r="J55" s="224">
        <v>0.0</v>
      </c>
      <c r="L55" s="31"/>
      <c r="M55" s="223" t="s">
        <v>19</v>
      </c>
      <c r="N55" s="225">
        <f>2/75</f>
        <v>0.02666666667</v>
      </c>
      <c r="P55" s="31"/>
      <c r="Q55" s="10"/>
      <c r="R55" s="10"/>
      <c r="S55" s="12"/>
      <c r="T55" s="13"/>
      <c r="U55" s="7"/>
      <c r="V55" s="7"/>
      <c r="W55" s="7"/>
      <c r="X55" s="7"/>
      <c r="Y55" s="7"/>
    </row>
    <row r="56" ht="15.0" customHeight="1">
      <c r="A56" s="226" t="s">
        <v>431</v>
      </c>
      <c r="B56" s="228">
        <f t="shared" si="14"/>
        <v>0.04</v>
      </c>
      <c r="D56" s="31"/>
      <c r="E56" s="226" t="s">
        <v>1083</v>
      </c>
      <c r="F56" s="227">
        <v>0.0</v>
      </c>
      <c r="H56" s="31"/>
      <c r="I56" s="226" t="s">
        <v>1084</v>
      </c>
      <c r="J56" s="228">
        <f>1/4</f>
        <v>0.25</v>
      </c>
      <c r="L56" s="31"/>
      <c r="M56" s="226" t="s">
        <v>1085</v>
      </c>
      <c r="N56" s="228">
        <f>3/140</f>
        <v>0.02142857143</v>
      </c>
      <c r="P56" s="31"/>
      <c r="Q56" s="10"/>
      <c r="R56" s="10"/>
      <c r="S56" s="12"/>
      <c r="T56" s="13"/>
      <c r="U56" s="7"/>
      <c r="V56" s="7"/>
      <c r="W56" s="7"/>
      <c r="X56" s="7"/>
      <c r="Y56" s="7"/>
    </row>
    <row r="57" ht="15.0" customHeight="1">
      <c r="A57" s="236" t="s">
        <v>1086</v>
      </c>
      <c r="B57" s="225">
        <f t="shared" si="14"/>
        <v>0.04</v>
      </c>
      <c r="D57" s="31"/>
      <c r="E57" s="236" t="s">
        <v>1087</v>
      </c>
      <c r="F57" s="224">
        <v>0.0</v>
      </c>
      <c r="H57" s="31"/>
      <c r="I57" s="236" t="s">
        <v>1088</v>
      </c>
      <c r="J57" s="225">
        <f>1/10</f>
        <v>0.1</v>
      </c>
      <c r="L57" s="31"/>
      <c r="M57" s="236" t="s">
        <v>1089</v>
      </c>
      <c r="N57" s="225">
        <f t="shared" ref="N57:N60" si="15">2/75</f>
        <v>0.02666666667</v>
      </c>
      <c r="P57" s="31"/>
      <c r="Q57" s="10"/>
      <c r="R57" s="10"/>
      <c r="S57" s="12"/>
      <c r="T57" s="13"/>
      <c r="U57" s="7"/>
      <c r="V57" s="7"/>
      <c r="W57" s="7"/>
      <c r="X57" s="7"/>
      <c r="Y57" s="7"/>
    </row>
    <row r="58" ht="15.0" customHeight="1">
      <c r="A58" s="226" t="s">
        <v>1090</v>
      </c>
      <c r="B58" s="228">
        <f t="shared" si="14"/>
        <v>0.04</v>
      </c>
      <c r="D58" s="31"/>
      <c r="E58" s="226" t="s">
        <v>1091</v>
      </c>
      <c r="F58" s="227">
        <v>0.0</v>
      </c>
      <c r="H58" s="31"/>
      <c r="I58" s="226" t="s">
        <v>1092</v>
      </c>
      <c r="J58" s="228">
        <f>1/2</f>
        <v>0.5</v>
      </c>
      <c r="L58" s="31"/>
      <c r="M58" s="226" t="s">
        <v>1093</v>
      </c>
      <c r="N58" s="228">
        <f t="shared" si="15"/>
        <v>0.02666666667</v>
      </c>
      <c r="P58" s="31"/>
      <c r="Q58" s="10"/>
      <c r="R58" s="10"/>
      <c r="S58" s="12"/>
      <c r="T58" s="13"/>
      <c r="U58" s="7"/>
      <c r="V58" s="7"/>
      <c r="W58" s="7"/>
      <c r="X58" s="7"/>
      <c r="Y58" s="7"/>
    </row>
    <row r="59" ht="15.0" customHeight="1">
      <c r="A59" s="236" t="s">
        <v>1094</v>
      </c>
      <c r="B59" s="225">
        <f>3/125</f>
        <v>0.024</v>
      </c>
      <c r="D59" s="31"/>
      <c r="E59" s="236" t="s">
        <v>1095</v>
      </c>
      <c r="F59" s="224">
        <v>0.0</v>
      </c>
      <c r="H59" s="31"/>
      <c r="I59" s="236" t="s">
        <v>1096</v>
      </c>
      <c r="J59" s="225">
        <f>1/4</f>
        <v>0.25</v>
      </c>
      <c r="L59" s="31"/>
      <c r="M59" s="236" t="s">
        <v>1097</v>
      </c>
      <c r="N59" s="225">
        <f t="shared" si="15"/>
        <v>0.02666666667</v>
      </c>
      <c r="P59" s="31"/>
      <c r="Q59" s="10"/>
      <c r="R59" s="10"/>
      <c r="S59" s="12"/>
      <c r="T59" s="13"/>
      <c r="U59" s="7"/>
      <c r="V59" s="7"/>
      <c r="W59" s="7"/>
      <c r="X59" s="7"/>
      <c r="Y59" s="7"/>
    </row>
    <row r="60" ht="15.0" customHeight="1">
      <c r="A60" s="226" t="s">
        <v>1098</v>
      </c>
      <c r="B60" s="228">
        <f>1/75</f>
        <v>0.01333333333</v>
      </c>
      <c r="D60" s="31"/>
      <c r="E60" s="241" t="s">
        <v>1099</v>
      </c>
      <c r="F60" s="242">
        <v>0.0</v>
      </c>
      <c r="H60" s="31"/>
      <c r="I60" s="243"/>
      <c r="J60" s="240"/>
      <c r="L60" s="31"/>
      <c r="M60" s="241" t="s">
        <v>1100</v>
      </c>
      <c r="N60" s="240">
        <f t="shared" si="15"/>
        <v>0.02666666667</v>
      </c>
      <c r="P60" s="31"/>
      <c r="Q60" s="10"/>
      <c r="R60" s="10"/>
      <c r="S60" s="12"/>
      <c r="T60" s="13"/>
      <c r="U60" s="7"/>
      <c r="V60" s="7"/>
      <c r="W60" s="7"/>
      <c r="X60" s="7"/>
      <c r="Y60" s="7"/>
    </row>
    <row r="61" ht="15.0" customHeight="1">
      <c r="A61" s="12"/>
      <c r="B61" s="12"/>
      <c r="C61" s="48"/>
      <c r="D61" s="12"/>
      <c r="E61" s="48"/>
      <c r="F61" s="48"/>
      <c r="G61" s="48"/>
      <c r="H61" s="12"/>
      <c r="I61" s="48"/>
      <c r="J61" s="48"/>
      <c r="K61" s="48"/>
      <c r="L61" s="12"/>
      <c r="M61" s="48"/>
      <c r="N61" s="48"/>
      <c r="O61" s="48"/>
      <c r="P61" s="12"/>
      <c r="Q61" s="12"/>
      <c r="R61" s="12"/>
      <c r="S61" s="12"/>
      <c r="T61" s="13"/>
      <c r="U61" s="7"/>
      <c r="V61" s="7"/>
      <c r="W61" s="7"/>
      <c r="X61" s="7"/>
      <c r="Y61" s="7"/>
    </row>
    <row r="62" ht="15.0" customHeight="1">
      <c r="A62" s="27"/>
      <c r="B62" s="27"/>
      <c r="C62" s="27"/>
      <c r="D62" s="27"/>
      <c r="E62" s="27"/>
      <c r="F62" s="27"/>
      <c r="G62" s="27"/>
      <c r="H62" s="27"/>
      <c r="I62" s="27"/>
      <c r="J62" s="27"/>
      <c r="K62" s="27"/>
      <c r="L62" s="27"/>
      <c r="M62" s="27"/>
      <c r="N62" s="27"/>
      <c r="O62" s="27"/>
      <c r="P62" s="27"/>
      <c r="Q62" s="27"/>
      <c r="R62" s="27"/>
      <c r="S62" s="27"/>
      <c r="T62" s="52"/>
      <c r="U62" s="17"/>
      <c r="V62" s="17"/>
      <c r="W62" s="17"/>
      <c r="X62" s="17"/>
      <c r="Y62" s="17"/>
    </row>
    <row r="63" ht="17.25" customHeight="1">
      <c r="A63" s="129" t="s">
        <v>1101</v>
      </c>
    </row>
    <row r="64" ht="17.25" customHeight="1">
      <c r="A64" s="154"/>
    </row>
  </sheetData>
  <mergeCells count="37">
    <mergeCell ref="A1:Y1"/>
    <mergeCell ref="A2:Y2"/>
    <mergeCell ref="A3:T3"/>
    <mergeCell ref="B4:F4"/>
    <mergeCell ref="G4:I4"/>
    <mergeCell ref="B5:F5"/>
    <mergeCell ref="G5:J6"/>
    <mergeCell ref="G8:G15"/>
    <mergeCell ref="G26:G33"/>
    <mergeCell ref="G35:G42"/>
    <mergeCell ref="G44:G51"/>
    <mergeCell ref="G53:G60"/>
    <mergeCell ref="C17:C24"/>
    <mergeCell ref="C35:C42"/>
    <mergeCell ref="C44:C51"/>
    <mergeCell ref="C53:C60"/>
    <mergeCell ref="K35:K42"/>
    <mergeCell ref="K44:K51"/>
    <mergeCell ref="K53:K60"/>
    <mergeCell ref="B6:F6"/>
    <mergeCell ref="C8:C15"/>
    <mergeCell ref="K8:K15"/>
    <mergeCell ref="H17:H24"/>
    <mergeCell ref="K17:K24"/>
    <mergeCell ref="D26:D33"/>
    <mergeCell ref="K26:K33"/>
    <mergeCell ref="O44:O51"/>
    <mergeCell ref="O53:O60"/>
    <mergeCell ref="A63:T63"/>
    <mergeCell ref="A64:T64"/>
    <mergeCell ref="O8:O15"/>
    <mergeCell ref="O17:O24"/>
    <mergeCell ref="O26:O33"/>
    <mergeCell ref="O35:O42"/>
    <mergeCell ref="P35:P42"/>
    <mergeCell ref="S35:S42"/>
    <mergeCell ref="S44:S51"/>
  </mergeCells>
  <hyperlinks>
    <hyperlink r:id="rId1" ref="G5"/>
    <hyperlink r:id="rId2" ref="M5"/>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75"/>
    <col customWidth="1" min="2" max="5" width="8.75"/>
    <col customWidth="1" min="6" max="6" width="19.13"/>
    <col customWidth="1" min="7" max="10" width="8.75"/>
    <col customWidth="1" min="11" max="11" width="18.88"/>
    <col customWidth="1" min="12" max="15" width="8.75"/>
    <col customWidth="1" min="16" max="16" width="17.38"/>
    <col customWidth="1" min="17" max="20" width="8.75"/>
    <col customWidth="1" min="21" max="21" width="18.5"/>
    <col customWidth="1" min="22" max="25" width="8.75"/>
  </cols>
  <sheetData>
    <row r="1" ht="22.5" customHeight="1">
      <c r="A1" s="66" t="str">
        <f>Barb!A1</f>
        <v>- OUTDATED -
</v>
      </c>
    </row>
    <row r="2" ht="22.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2.5" customHeight="1">
      <c r="A3" s="4"/>
      <c r="B3" s="4"/>
      <c r="C3" s="4"/>
      <c r="D3" s="4"/>
      <c r="E3" s="4"/>
      <c r="F3" s="4"/>
      <c r="G3" s="4"/>
      <c r="H3" s="4"/>
      <c r="I3" s="4"/>
      <c r="J3" s="4"/>
      <c r="K3" s="4"/>
      <c r="L3" s="4"/>
      <c r="M3" s="4"/>
      <c r="N3" s="4"/>
      <c r="O3" s="4"/>
      <c r="P3" s="4"/>
      <c r="Q3" s="4"/>
      <c r="R3" s="4"/>
      <c r="S3" s="4"/>
      <c r="T3" s="4"/>
      <c r="U3" s="4"/>
      <c r="V3" s="4"/>
      <c r="W3" s="4"/>
      <c r="X3" s="4"/>
      <c r="Y3" s="4"/>
    </row>
    <row r="4" ht="22.5" customHeight="1">
      <c r="A4" s="68" t="str">
        <f>Barb!A4</f>
        <v>100% tested (2.0.6)</v>
      </c>
      <c r="B4" s="155" t="str">
        <f>'Barb (PP)'!B4</f>
        <v>Proc Coefficients</v>
      </c>
      <c r="C4" s="7"/>
      <c r="D4" s="7"/>
      <c r="E4" s="7"/>
      <c r="F4" s="8"/>
      <c r="G4" s="70" t="str">
        <f>Barb!G4</f>
        <v>Downloadable Sheet:</v>
      </c>
      <c r="H4" s="7"/>
      <c r="I4" s="7"/>
      <c r="J4" s="8"/>
      <c r="K4" s="71"/>
      <c r="L4" s="10"/>
      <c r="M4" s="10"/>
      <c r="N4" s="10"/>
      <c r="O4" s="10"/>
      <c r="P4" s="10"/>
      <c r="Q4" s="10"/>
      <c r="R4" s="10"/>
      <c r="S4" s="10"/>
      <c r="T4" s="10"/>
      <c r="U4" s="10"/>
      <c r="V4" s="10"/>
      <c r="W4" s="10"/>
      <c r="X4" s="12"/>
      <c r="Y4" s="13"/>
    </row>
    <row r="5" ht="15.75" customHeight="1">
      <c r="A5" s="156" t="str">
        <f>Barb!A5</f>
        <v>Updated: 7/10/14</v>
      </c>
      <c r="B5" s="157" t="str">
        <f>'Barb (PP)'!B5</f>
        <v>(per second)</v>
      </c>
      <c r="C5" s="7"/>
      <c r="D5" s="7"/>
      <c r="E5" s="7"/>
      <c r="F5" s="8"/>
      <c r="G5" s="74" t="s">
        <v>8</v>
      </c>
      <c r="H5" s="17"/>
      <c r="I5" s="17"/>
      <c r="J5" s="17"/>
      <c r="K5" s="18"/>
      <c r="L5" s="71"/>
      <c r="M5" s="244"/>
      <c r="N5" s="10"/>
      <c r="O5" s="10"/>
      <c r="P5" s="10"/>
      <c r="Q5" s="10"/>
      <c r="R5" s="10"/>
      <c r="S5" s="10"/>
      <c r="T5" s="10"/>
      <c r="U5" s="10"/>
      <c r="V5" s="10"/>
      <c r="W5" s="10"/>
      <c r="X5" s="12"/>
      <c r="Y5" s="13"/>
    </row>
    <row r="6" ht="31.5" customHeight="1">
      <c r="A6" s="160" t="str">
        <f>'Barb (PP)'!A6</f>
        <v>S/E = skill/effect procs</v>
      </c>
      <c r="B6" s="220" t="s">
        <v>947</v>
      </c>
      <c r="C6" s="7"/>
      <c r="D6" s="7"/>
      <c r="E6" s="7"/>
      <c r="F6" s="8"/>
      <c r="G6" s="23"/>
      <c r="H6" s="4"/>
      <c r="I6" s="4"/>
      <c r="J6" s="4"/>
      <c r="K6" s="24"/>
      <c r="L6" s="71"/>
      <c r="M6" s="244"/>
      <c r="N6" s="10"/>
      <c r="O6" s="10"/>
      <c r="P6" s="10"/>
      <c r="Q6" s="10"/>
      <c r="R6" s="10"/>
      <c r="S6" s="10"/>
      <c r="T6" s="10"/>
      <c r="U6" s="10"/>
      <c r="V6" s="10"/>
      <c r="W6" s="10"/>
      <c r="X6" s="12"/>
      <c r="Y6" s="13"/>
    </row>
    <row r="7" ht="15.0" customHeight="1">
      <c r="A7" s="10"/>
      <c r="B7" s="26"/>
      <c r="C7" s="26"/>
      <c r="D7" s="26"/>
      <c r="E7" s="10"/>
      <c r="F7" s="10"/>
      <c r="G7" s="26"/>
      <c r="H7" s="26"/>
      <c r="I7" s="26"/>
      <c r="J7" s="10"/>
      <c r="K7" s="10"/>
      <c r="L7" s="26"/>
      <c r="M7" s="26"/>
      <c r="N7" s="26"/>
      <c r="O7" s="10"/>
      <c r="P7" s="10"/>
      <c r="Q7" s="26"/>
      <c r="R7" s="26"/>
      <c r="S7" s="26"/>
      <c r="T7" s="10"/>
      <c r="U7" s="10"/>
      <c r="V7" s="10"/>
      <c r="W7" s="10"/>
      <c r="X7" s="12"/>
      <c r="Y7" s="13"/>
    </row>
    <row r="8" ht="15.0" customHeight="1">
      <c r="A8" s="28"/>
      <c r="B8" s="29" t="s">
        <v>338</v>
      </c>
      <c r="C8" s="29" t="s">
        <v>339</v>
      </c>
      <c r="D8" s="30" t="s">
        <v>949</v>
      </c>
      <c r="E8" s="31"/>
      <c r="F8" s="28"/>
      <c r="G8" s="29" t="s">
        <v>338</v>
      </c>
      <c r="H8" s="29" t="s">
        <v>339</v>
      </c>
      <c r="I8" s="30" t="s">
        <v>950</v>
      </c>
      <c r="J8" s="31"/>
      <c r="K8" s="28"/>
      <c r="L8" s="29" t="s">
        <v>338</v>
      </c>
      <c r="M8" s="29" t="s">
        <v>339</v>
      </c>
      <c r="N8" s="30" t="s">
        <v>951</v>
      </c>
      <c r="O8" s="31"/>
      <c r="P8" s="28"/>
      <c r="Q8" s="29" t="s">
        <v>338</v>
      </c>
      <c r="R8" s="29" t="s">
        <v>339</v>
      </c>
      <c r="S8" s="30" t="s">
        <v>952</v>
      </c>
      <c r="T8" s="31"/>
      <c r="U8" s="10"/>
      <c r="V8" s="10"/>
      <c r="W8" s="10"/>
      <c r="X8" s="12"/>
      <c r="Y8" s="13"/>
    </row>
    <row r="9" ht="17.25" customHeight="1">
      <c r="A9" s="221" t="s">
        <v>18</v>
      </c>
      <c r="B9" s="230">
        <f t="shared" ref="B9:C9" si="1">AVERAGE(B10:B15)</f>
        <v>0.822859745</v>
      </c>
      <c r="C9" s="222">
        <f t="shared" si="1"/>
        <v>0.798168387</v>
      </c>
      <c r="E9" s="31"/>
      <c r="F9" s="221" t="s">
        <v>18</v>
      </c>
      <c r="G9" s="230">
        <f t="shared" ref="G9:H9" si="2">AVERAGE(G10:G15)</f>
        <v>0.7812379621</v>
      </c>
      <c r="H9" s="222">
        <f t="shared" si="2"/>
        <v>0.7744389324</v>
      </c>
      <c r="J9" s="31"/>
      <c r="K9" s="221" t="s">
        <v>18</v>
      </c>
      <c r="L9" s="230">
        <f t="shared" ref="L9:M9" si="3">AVERAGE(L10:L15)</f>
        <v>0.923362069</v>
      </c>
      <c r="M9" s="222">
        <f t="shared" si="3"/>
        <v>0.6682522885</v>
      </c>
      <c r="O9" s="31"/>
      <c r="P9" s="221" t="s">
        <v>18</v>
      </c>
      <c r="Q9" s="230">
        <f t="shared" ref="Q9:R9" si="4">AVERAGE(Q10:Q15)</f>
        <v>0.3111111111</v>
      </c>
      <c r="R9" s="222">
        <f t="shared" si="4"/>
        <v>0.2839814815</v>
      </c>
      <c r="T9" s="31"/>
      <c r="U9" s="10"/>
      <c r="V9" s="10"/>
      <c r="W9" s="10"/>
      <c r="X9" s="12"/>
      <c r="Y9" s="13"/>
    </row>
    <row r="10" ht="15.0" customHeight="1">
      <c r="A10" s="223" t="s">
        <v>19</v>
      </c>
      <c r="B10" s="232">
        <f>Wizard!B10*1</f>
        <v>1</v>
      </c>
      <c r="C10" s="225">
        <f>1-(1-Wizard!B10)^1</f>
        <v>1</v>
      </c>
      <c r="E10" s="31"/>
      <c r="F10" s="223" t="s">
        <v>19</v>
      </c>
      <c r="G10" s="232">
        <f>Wizard!F10*1</f>
        <v>0.9310344828</v>
      </c>
      <c r="H10" s="225">
        <f>1-(1-Wizard!F10)^1</f>
        <v>0.9310344828</v>
      </c>
      <c r="J10" s="31"/>
      <c r="K10" s="223" t="s">
        <v>19</v>
      </c>
      <c r="L10" s="232">
        <f>Wizard!J10*3</f>
        <v>0.9310344828</v>
      </c>
      <c r="M10" s="225">
        <f>1-(1-Wizard!J10)^3</f>
        <v>0.6719832711</v>
      </c>
      <c r="O10" s="31"/>
      <c r="P10" s="223" t="s">
        <v>19</v>
      </c>
      <c r="Q10" s="232">
        <f>Wizard!N10*2</f>
        <v>0.5</v>
      </c>
      <c r="R10" s="225">
        <f>1-(1-Wizard!N10)^2</f>
        <v>0.4375</v>
      </c>
      <c r="T10" s="31"/>
      <c r="U10" s="10"/>
      <c r="V10" s="10"/>
      <c r="W10" s="10"/>
      <c r="X10" s="12"/>
      <c r="Y10" s="13"/>
    </row>
    <row r="11" ht="15.0" customHeight="1">
      <c r="A11" s="226" t="s">
        <v>953</v>
      </c>
      <c r="B11" s="234">
        <f>Wizard!B11*1</f>
        <v>1</v>
      </c>
      <c r="C11" s="228">
        <f>1-(1-Wizard!B11)^1</f>
        <v>1</v>
      </c>
      <c r="E11" s="31"/>
      <c r="F11" s="226" t="s">
        <v>954</v>
      </c>
      <c r="G11" s="234">
        <f>Wizard!F11*1</f>
        <v>0.9310344828</v>
      </c>
      <c r="H11" s="228">
        <f>1-(1-Wizard!F11)^1</f>
        <v>0.9310344828</v>
      </c>
      <c r="J11" s="31"/>
      <c r="K11" s="226" t="s">
        <v>955</v>
      </c>
      <c r="L11" s="234">
        <f>Wizard!J11*3</f>
        <v>0.9310344828</v>
      </c>
      <c r="M11" s="228">
        <f>1-(1-Wizard!J11)^3</f>
        <v>0.6719832711</v>
      </c>
      <c r="O11" s="31"/>
      <c r="P11" s="226" t="s">
        <v>956</v>
      </c>
      <c r="Q11" s="234">
        <f>Wizard!N11*2</f>
        <v>0.1666666667</v>
      </c>
      <c r="R11" s="228">
        <f>1-(1-Wizard!N11)^2</f>
        <v>0.1597222222</v>
      </c>
      <c r="T11" s="31"/>
      <c r="U11" s="10"/>
      <c r="V11" s="10"/>
      <c r="W11" s="10"/>
      <c r="X11" s="12"/>
      <c r="Y11" s="13"/>
    </row>
    <row r="12" ht="15.0" customHeight="1">
      <c r="A12" s="229" t="s">
        <v>957</v>
      </c>
      <c r="B12" s="232">
        <f>Wizard!B12*1</f>
        <v>0.7704918033</v>
      </c>
      <c r="C12" s="225">
        <f>1-(1-Wizard!B12)^1</f>
        <v>0.7704918033</v>
      </c>
      <c r="E12" s="31"/>
      <c r="F12" s="229" t="s">
        <v>958</v>
      </c>
      <c r="G12" s="232">
        <f>Wizard!F12*1</f>
        <v>0.8</v>
      </c>
      <c r="H12" s="225">
        <f>1-(1-Wizard!F12)^1</f>
        <v>0.8</v>
      </c>
      <c r="J12" s="31"/>
      <c r="K12" s="229" t="s">
        <v>959</v>
      </c>
      <c r="L12" s="232">
        <f>Wizard!J12*3</f>
        <v>0.9310344828</v>
      </c>
      <c r="M12" s="225">
        <f>1-(1-Wizard!J12)^3</f>
        <v>0.6719832711</v>
      </c>
      <c r="O12" s="31"/>
      <c r="P12" s="229" t="s">
        <v>960</v>
      </c>
      <c r="Q12" s="232">
        <f>Wizard!N12*2</f>
        <v>0.3333333333</v>
      </c>
      <c r="R12" s="225">
        <f>1-(1-Wizard!N12)^2</f>
        <v>0.3055555556</v>
      </c>
      <c r="T12" s="31"/>
      <c r="U12" s="10"/>
      <c r="V12" s="10"/>
      <c r="W12" s="10"/>
      <c r="X12" s="12"/>
      <c r="Y12" s="13"/>
    </row>
    <row r="13" ht="15.0" customHeight="1">
      <c r="A13" s="226" t="s">
        <v>1102</v>
      </c>
      <c r="B13" s="234">
        <f>(Wizard!B13*1+Wizard!B13*3)/2</f>
        <v>0.6666666667</v>
      </c>
      <c r="C13" s="228">
        <f>((1-(1-Wizard!B13)^1)+(1-(1-Wizard!B13)^3))/2</f>
        <v>0.5185185185</v>
      </c>
      <c r="E13" s="31"/>
      <c r="F13" s="226" t="s">
        <v>962</v>
      </c>
      <c r="G13" s="234">
        <f>Wizard!F13*1</f>
        <v>0.77</v>
      </c>
      <c r="H13" s="228">
        <f>1-(1-Wizard!F13)^1</f>
        <v>0.77</v>
      </c>
      <c r="J13" s="31"/>
      <c r="K13" s="226" t="s">
        <v>963</v>
      </c>
      <c r="L13" s="234">
        <f>Wizard!J13*3</f>
        <v>0.885</v>
      </c>
      <c r="M13" s="228">
        <f>1-(1-Wizard!J13)^3</f>
        <v>0.649597375</v>
      </c>
      <c r="O13" s="31"/>
      <c r="P13" s="226" t="s">
        <v>964</v>
      </c>
      <c r="Q13" s="234">
        <f>Wizard!N13*2</f>
        <v>0.3333333333</v>
      </c>
      <c r="R13" s="228">
        <f>1-(1-Wizard!N13)^2</f>
        <v>0.3055555556</v>
      </c>
      <c r="T13" s="31"/>
      <c r="U13" s="10"/>
      <c r="V13" s="10"/>
      <c r="W13" s="10"/>
      <c r="X13" s="12"/>
      <c r="Y13" s="13"/>
    </row>
    <row r="14" ht="15.0" customHeight="1">
      <c r="A14" s="229" t="s">
        <v>965</v>
      </c>
      <c r="B14" s="232">
        <f>Wizard!B14*1</f>
        <v>1</v>
      </c>
      <c r="C14" s="225">
        <f>1-(1-Wizard!B14)^1</f>
        <v>1</v>
      </c>
      <c r="E14" s="31"/>
      <c r="F14" s="229" t="s">
        <v>966</v>
      </c>
      <c r="G14" s="232">
        <f>Wizard!F14*1</f>
        <v>0.9310344828</v>
      </c>
      <c r="H14" s="225">
        <f>1-(1-Wizard!F14)^1</f>
        <v>0.9310344828</v>
      </c>
      <c r="J14" s="31"/>
      <c r="K14" s="229" t="s">
        <v>967</v>
      </c>
      <c r="L14" s="232">
        <f>Wizard!J14*3</f>
        <v>0.9310344828</v>
      </c>
      <c r="M14" s="225">
        <f>1-(1-Wizard!J14)^3</f>
        <v>0.6719832711</v>
      </c>
      <c r="O14" s="31"/>
      <c r="P14" s="229" t="s">
        <v>968</v>
      </c>
      <c r="Q14" s="232">
        <f>Wizard!N14*2</f>
        <v>0.3333333333</v>
      </c>
      <c r="R14" s="225">
        <f>1-(1-Wizard!N14)^2</f>
        <v>0.3055555556</v>
      </c>
      <c r="T14" s="31"/>
      <c r="U14" s="10"/>
      <c r="V14" s="10"/>
      <c r="W14" s="10"/>
      <c r="X14" s="12"/>
      <c r="Y14" s="13"/>
    </row>
    <row r="15" ht="15.0" customHeight="1">
      <c r="A15" s="226" t="s">
        <v>969</v>
      </c>
      <c r="B15" s="234">
        <f>Wizard!B15*1</f>
        <v>0.5</v>
      </c>
      <c r="C15" s="228">
        <f>1-(1-Wizard!B15)^1</f>
        <v>0.5</v>
      </c>
      <c r="E15" s="31"/>
      <c r="F15" s="226" t="s">
        <v>970</v>
      </c>
      <c r="G15" s="234">
        <f>Wizard!F15*6</f>
        <v>0.3243243243</v>
      </c>
      <c r="H15" s="228">
        <f>1-(1-Wizard!F15)^6</f>
        <v>0.2835301463</v>
      </c>
      <c r="J15" s="31"/>
      <c r="K15" s="226" t="s">
        <v>971</v>
      </c>
      <c r="L15" s="234">
        <f>Wizard!J15*3</f>
        <v>0.9310344828</v>
      </c>
      <c r="M15" s="228">
        <f>1-(1-Wizard!J15)^3</f>
        <v>0.6719832711</v>
      </c>
      <c r="O15" s="31"/>
      <c r="P15" s="226" t="s">
        <v>972</v>
      </c>
      <c r="Q15" s="234">
        <f>Wizard!N15*2</f>
        <v>0.2</v>
      </c>
      <c r="R15" s="228">
        <f>1-(1-Wizard!N15)^2</f>
        <v>0.19</v>
      </c>
      <c r="T15" s="31"/>
      <c r="U15" s="10"/>
      <c r="V15" s="10"/>
      <c r="W15" s="10"/>
      <c r="X15" s="12"/>
      <c r="Y15" s="13"/>
    </row>
    <row r="16" ht="15.0" customHeight="1">
      <c r="A16" s="10"/>
      <c r="B16" s="26"/>
      <c r="C16" s="26"/>
      <c r="D16" s="41"/>
      <c r="E16" s="10"/>
      <c r="F16" s="10"/>
      <c r="G16" s="26"/>
      <c r="H16" s="26"/>
      <c r="I16" s="41"/>
      <c r="J16" s="10"/>
      <c r="K16" s="10"/>
      <c r="L16" s="26"/>
      <c r="M16" s="26"/>
      <c r="N16" s="41"/>
      <c r="O16" s="10"/>
      <c r="P16" s="10"/>
      <c r="Q16" s="26"/>
      <c r="R16" s="26"/>
      <c r="S16" s="41"/>
      <c r="T16" s="10"/>
      <c r="U16" s="10"/>
      <c r="V16" s="10"/>
      <c r="W16" s="10"/>
      <c r="X16" s="12"/>
      <c r="Y16" s="13"/>
    </row>
    <row r="17" ht="15.75" customHeight="1">
      <c r="A17" s="28"/>
      <c r="B17" s="29" t="s">
        <v>338</v>
      </c>
      <c r="C17" s="29" t="s">
        <v>339</v>
      </c>
      <c r="D17" s="30" t="s">
        <v>973</v>
      </c>
      <c r="E17" s="31"/>
      <c r="F17" s="28"/>
      <c r="G17" s="29" t="s">
        <v>338</v>
      </c>
      <c r="H17" s="29" t="s">
        <v>339</v>
      </c>
      <c r="I17" s="30" t="s">
        <v>974</v>
      </c>
      <c r="J17" s="31"/>
      <c r="K17" s="28"/>
      <c r="L17" s="29" t="s">
        <v>338</v>
      </c>
      <c r="M17" s="29" t="s">
        <v>339</v>
      </c>
      <c r="N17" s="30" t="s">
        <v>975</v>
      </c>
      <c r="O17" s="31"/>
      <c r="P17" s="28"/>
      <c r="Q17" s="29" t="s">
        <v>338</v>
      </c>
      <c r="R17" s="29" t="s">
        <v>339</v>
      </c>
      <c r="S17" s="30" t="s">
        <v>976</v>
      </c>
      <c r="T17" s="31"/>
      <c r="U17" s="10"/>
      <c r="V17" s="10"/>
      <c r="W17" s="10"/>
      <c r="X17" s="12"/>
      <c r="Y17" s="13"/>
    </row>
    <row r="18" ht="17.25" customHeight="1">
      <c r="A18" s="221" t="s">
        <v>18</v>
      </c>
      <c r="B18" s="230">
        <f t="shared" ref="B18:C18" si="5">AVERAGE(B19:B24)</f>
        <v>0.6177777778</v>
      </c>
      <c r="C18" s="222">
        <f t="shared" si="5"/>
        <v>0.5193777778</v>
      </c>
      <c r="E18" s="31"/>
      <c r="F18" s="221" t="s">
        <v>18</v>
      </c>
      <c r="G18" s="230">
        <f t="shared" ref="G18:H18" si="6">AVERAGE(G19:G24)</f>
        <v>0.2156852138</v>
      </c>
      <c r="H18" s="222">
        <f t="shared" si="6"/>
        <v>0.2147419799</v>
      </c>
      <c r="J18" s="31"/>
      <c r="K18" s="221" t="s">
        <v>18</v>
      </c>
      <c r="L18" s="230">
        <f t="shared" ref="L18:M18" si="7">AVERAGE(L19:L24)</f>
        <v>0.7633333333</v>
      </c>
      <c r="M18" s="222">
        <f t="shared" si="7"/>
        <v>0.551216</v>
      </c>
      <c r="O18" s="31"/>
      <c r="P18" s="221" t="s">
        <v>18</v>
      </c>
      <c r="Q18" s="230">
        <f t="shared" ref="Q18:R18" si="8">AVERAGE(Q19:Q24)</f>
        <v>0.5648148148</v>
      </c>
      <c r="R18" s="222">
        <f t="shared" si="8"/>
        <v>0.4530781577</v>
      </c>
      <c r="T18" s="31"/>
      <c r="U18" s="10"/>
      <c r="V18" s="10"/>
      <c r="W18" s="10"/>
      <c r="X18" s="12"/>
      <c r="Y18" s="13"/>
    </row>
    <row r="19" ht="15.0" customHeight="1">
      <c r="A19" s="223" t="s">
        <v>19</v>
      </c>
      <c r="B19" s="232">
        <f>Wizard!B19*2</f>
        <v>0.6666666667</v>
      </c>
      <c r="C19" s="225">
        <f>1-(1-Wizard!B19)^2</f>
        <v>0.5555555556</v>
      </c>
      <c r="E19" s="31"/>
      <c r="F19" s="223" t="s">
        <v>19</v>
      </c>
      <c r="G19" s="232">
        <f>Wizard!F19*1</f>
        <v>0.3103448276</v>
      </c>
      <c r="H19" s="225">
        <f>1-(1-Wizard!F19)^1</f>
        <v>0.3103448276</v>
      </c>
      <c r="J19" s="31"/>
      <c r="K19" s="223" t="s">
        <v>19</v>
      </c>
      <c r="L19" s="232">
        <f>Wizard!J19*3</f>
        <v>0.6</v>
      </c>
      <c r="M19" s="225">
        <f>1-(1-Wizard!J19)^3</f>
        <v>0.488</v>
      </c>
      <c r="O19" s="31"/>
      <c r="P19" s="223" t="s">
        <v>19</v>
      </c>
      <c r="Q19" s="232">
        <f>Wizard!N19*4</f>
        <v>0.6666666667</v>
      </c>
      <c r="R19" s="225">
        <f>1-(1-Wizard!N19)^4</f>
        <v>0.5177469136</v>
      </c>
      <c r="T19" s="31"/>
      <c r="U19" s="10"/>
      <c r="V19" s="10"/>
      <c r="W19" s="10"/>
      <c r="X19" s="12"/>
      <c r="Y19" s="13"/>
    </row>
    <row r="20" ht="15.0" customHeight="1">
      <c r="A20" s="226" t="s">
        <v>977</v>
      </c>
      <c r="B20" s="234">
        <f>Wizard!B20*2</f>
        <v>0.6666666667</v>
      </c>
      <c r="C20" s="228">
        <f>1-(1-Wizard!B20)^2</f>
        <v>0.5555555556</v>
      </c>
      <c r="E20" s="31"/>
      <c r="F20" s="226" t="s">
        <v>978</v>
      </c>
      <c r="G20" s="234">
        <f>Wizard!F20*1</f>
        <v>0.6551724138</v>
      </c>
      <c r="H20" s="228">
        <f>1-(1-Wizard!F20)^1</f>
        <v>0.6551724138</v>
      </c>
      <c r="J20" s="31"/>
      <c r="K20" s="226" t="s">
        <v>979</v>
      </c>
      <c r="L20" s="234">
        <f>Wizard!J20*3</f>
        <v>0.6</v>
      </c>
      <c r="M20" s="228">
        <f>1-(1-Wizard!J20)^3</f>
        <v>0.488</v>
      </c>
      <c r="O20" s="31"/>
      <c r="P20" s="226" t="s">
        <v>980</v>
      </c>
      <c r="Q20" s="234">
        <f>Wizard!N20*4</f>
        <v>0.4444444444</v>
      </c>
      <c r="R20" s="228">
        <f>1-(1-Wizard!N20)^4</f>
        <v>0.375704923</v>
      </c>
      <c r="T20" s="31"/>
      <c r="U20" s="10"/>
      <c r="V20" s="10"/>
      <c r="W20" s="10"/>
      <c r="X20" s="12"/>
      <c r="Y20" s="13"/>
    </row>
    <row r="21" ht="15.0" customHeight="1">
      <c r="A21" s="236" t="s">
        <v>981</v>
      </c>
      <c r="B21" s="232">
        <f>Wizard!B21*2</f>
        <v>0.6666666667</v>
      </c>
      <c r="C21" s="225">
        <f>1-(1-Wizard!B21)^2</f>
        <v>0.5555555556</v>
      </c>
      <c r="E21" s="31"/>
      <c r="F21" s="236" t="s">
        <v>982</v>
      </c>
      <c r="G21" s="232">
        <f>Wizard!F21*1</f>
        <v>0.009</v>
      </c>
      <c r="H21" s="225">
        <f>1-(1-Wizard!F21)^1</f>
        <v>0.009</v>
      </c>
      <c r="J21" s="31"/>
      <c r="K21" s="236" t="s">
        <v>983</v>
      </c>
      <c r="L21" s="232">
        <f>Wizard!J21*3</f>
        <v>1.8</v>
      </c>
      <c r="M21" s="225">
        <f>1-(1-Wizard!J21)^3</f>
        <v>0.936</v>
      </c>
      <c r="O21" s="31"/>
      <c r="P21" s="236" t="s">
        <v>984</v>
      </c>
      <c r="Q21" s="232">
        <f>Wizard!N21*4</f>
        <v>0.5</v>
      </c>
      <c r="R21" s="225">
        <f>1-(1-Wizard!N21)^4</f>
        <v>0.4138183594</v>
      </c>
      <c r="T21" s="31"/>
      <c r="U21" s="10"/>
      <c r="V21" s="10"/>
      <c r="W21" s="10"/>
      <c r="X21" s="12"/>
      <c r="Y21" s="13"/>
    </row>
    <row r="22" ht="15.0" customHeight="1">
      <c r="A22" s="226" t="s">
        <v>985</v>
      </c>
      <c r="B22" s="234">
        <f>Wizard!B22*2</f>
        <v>0.6666666667</v>
      </c>
      <c r="C22" s="228">
        <f>1-(1-Wizard!B22)^2</f>
        <v>0.5555555556</v>
      </c>
      <c r="E22" s="31"/>
      <c r="F22" s="226" t="s">
        <v>986</v>
      </c>
      <c r="G22" s="234">
        <f>Wizard!F22*1</f>
        <v>0.1</v>
      </c>
      <c r="H22" s="228">
        <f>1-(1-Wizard!F22)^1</f>
        <v>0.1</v>
      </c>
      <c r="J22" s="31"/>
      <c r="K22" s="226" t="s">
        <v>987</v>
      </c>
      <c r="L22" s="234">
        <f>Wizard!J22*1</f>
        <v>0.5</v>
      </c>
      <c r="M22" s="228">
        <f>1-(1-Wizard!J22)^1</f>
        <v>0.5</v>
      </c>
      <c r="O22" s="31"/>
      <c r="P22" s="226" t="s">
        <v>988</v>
      </c>
      <c r="Q22" s="234">
        <f>Wizard!N22*4</f>
        <v>0.6666666667</v>
      </c>
      <c r="R22" s="228">
        <f>1-(1-Wizard!N22)^4</f>
        <v>0.5177469136</v>
      </c>
      <c r="T22" s="31"/>
      <c r="U22" s="10"/>
      <c r="V22" s="10"/>
      <c r="W22" s="10"/>
      <c r="X22" s="12"/>
      <c r="Y22" s="13"/>
    </row>
    <row r="23" ht="15.0" customHeight="1">
      <c r="A23" s="236" t="s">
        <v>989</v>
      </c>
      <c r="B23" s="232">
        <f>Wizard!B23*2</f>
        <v>0.3733333333</v>
      </c>
      <c r="C23" s="225">
        <f>1-(1-Wizard!B23)^2</f>
        <v>0.3384888889</v>
      </c>
      <c r="E23" s="31"/>
      <c r="F23" s="236" t="s">
        <v>990</v>
      </c>
      <c r="G23" s="232">
        <f>(Wizard!F23*1)+(Wizard!G23*5)</f>
        <v>0.08536585366</v>
      </c>
      <c r="H23" s="225">
        <f>1-((1-Wizard!F23)^1)*((1-Wizard!G23)^5)</f>
        <v>0.08421075184</v>
      </c>
      <c r="J23" s="31"/>
      <c r="K23" s="236" t="s">
        <v>991</v>
      </c>
      <c r="L23" s="232">
        <f>Wizard!J23*3</f>
        <v>0.6</v>
      </c>
      <c r="M23" s="225">
        <f>1-(1-Wizard!J23)^3</f>
        <v>0.488</v>
      </c>
      <c r="O23" s="31"/>
      <c r="P23" s="236" t="s">
        <v>992</v>
      </c>
      <c r="Q23" s="232">
        <f>Wizard!N23*4</f>
        <v>0.4444444444</v>
      </c>
      <c r="R23" s="225">
        <f>1-(1-Wizard!N23)^4</f>
        <v>0.375704923</v>
      </c>
      <c r="T23" s="31"/>
      <c r="U23" s="10"/>
      <c r="V23" s="10"/>
      <c r="W23" s="10"/>
      <c r="X23" s="12"/>
      <c r="Y23" s="13"/>
    </row>
    <row r="24" ht="15.0" customHeight="1">
      <c r="A24" s="226" t="s">
        <v>993</v>
      </c>
      <c r="B24" s="234">
        <f>Wizard!B24*2</f>
        <v>0.6666666667</v>
      </c>
      <c r="C24" s="228">
        <f>1-(1-Wizard!B24)^2</f>
        <v>0.5555555556</v>
      </c>
      <c r="E24" s="31"/>
      <c r="F24" s="226" t="s">
        <v>994</v>
      </c>
      <c r="G24" s="234">
        <f>Wizard!F24*2</f>
        <v>0.1342281879</v>
      </c>
      <c r="H24" s="228">
        <f>1-(1-Wizard!F24)^2</f>
        <v>0.1297238863</v>
      </c>
      <c r="J24" s="31"/>
      <c r="K24" s="226" t="s">
        <v>995</v>
      </c>
      <c r="L24" s="234">
        <f>Wizard!J24*3</f>
        <v>0.48</v>
      </c>
      <c r="M24" s="228">
        <f>1-(1-Wizard!J24)^3</f>
        <v>0.407296</v>
      </c>
      <c r="O24" s="31"/>
      <c r="P24" s="226" t="s">
        <v>996</v>
      </c>
      <c r="Q24" s="234">
        <f>Wizard!N24*4</f>
        <v>0.6666666667</v>
      </c>
      <c r="R24" s="228">
        <f>1-(1-Wizard!N24)^4</f>
        <v>0.5177469136</v>
      </c>
      <c r="T24" s="31"/>
      <c r="U24" s="10"/>
      <c r="V24" s="10"/>
      <c r="W24" s="10"/>
      <c r="X24" s="12"/>
      <c r="Y24" s="13"/>
    </row>
    <row r="25" ht="15.0" customHeight="1">
      <c r="A25" s="71"/>
      <c r="B25" s="26"/>
      <c r="C25" s="26"/>
      <c r="D25" s="41"/>
      <c r="E25" s="10"/>
      <c r="F25" s="71"/>
      <c r="G25" s="26"/>
      <c r="H25" s="26"/>
      <c r="I25" s="41"/>
      <c r="J25" s="10"/>
      <c r="K25" s="71"/>
      <c r="L25" s="26"/>
      <c r="M25" s="26"/>
      <c r="N25" s="41"/>
      <c r="O25" s="10"/>
      <c r="P25" s="71"/>
      <c r="Q25" s="26"/>
      <c r="R25" s="26"/>
      <c r="S25" s="41"/>
      <c r="T25" s="10"/>
      <c r="U25" s="10"/>
      <c r="V25" s="10"/>
      <c r="W25" s="10"/>
      <c r="X25" s="12"/>
      <c r="Y25" s="13"/>
    </row>
    <row r="26" ht="15.75" customHeight="1">
      <c r="A26" s="238"/>
      <c r="B26" s="29" t="s">
        <v>338</v>
      </c>
      <c r="C26" s="29" t="s">
        <v>339</v>
      </c>
      <c r="D26" s="30" t="s">
        <v>997</v>
      </c>
      <c r="E26" s="21"/>
      <c r="F26" s="238"/>
      <c r="G26" s="29" t="s">
        <v>338</v>
      </c>
      <c r="H26" s="29" t="s">
        <v>339</v>
      </c>
      <c r="I26" s="30" t="s">
        <v>998</v>
      </c>
      <c r="J26" s="31"/>
      <c r="K26" s="238"/>
      <c r="L26" s="29" t="s">
        <v>338</v>
      </c>
      <c r="M26" s="29" t="s">
        <v>339</v>
      </c>
      <c r="N26" s="30" t="s">
        <v>999</v>
      </c>
      <c r="O26" s="31"/>
      <c r="P26" s="238"/>
      <c r="Q26" s="29" t="s">
        <v>338</v>
      </c>
      <c r="R26" s="29" t="s">
        <v>339</v>
      </c>
      <c r="S26" s="30" t="s">
        <v>1000</v>
      </c>
      <c r="T26" s="31"/>
      <c r="U26" s="10"/>
      <c r="V26" s="10"/>
      <c r="W26" s="10"/>
      <c r="X26" s="12"/>
      <c r="Y26" s="13"/>
    </row>
    <row r="27" ht="17.25" customHeight="1">
      <c r="A27" s="221" t="s">
        <v>18</v>
      </c>
      <c r="B27" s="230">
        <f t="shared" ref="B27:C27" si="9">AVERAGE(B28:B33)</f>
        <v>0.1888888889</v>
      </c>
      <c r="C27" s="222">
        <f t="shared" si="9"/>
        <v>0.1840555556</v>
      </c>
      <c r="E27" s="21"/>
      <c r="F27" s="221" t="s">
        <v>18</v>
      </c>
      <c r="G27" s="230">
        <f t="shared" ref="G27:H27" si="10">AVERAGE(G28:G33)</f>
        <v>0.01666666667</v>
      </c>
      <c r="H27" s="222">
        <f t="shared" si="10"/>
        <v>0.01666666667</v>
      </c>
      <c r="J27" s="31"/>
      <c r="K27" s="221" t="s">
        <v>18</v>
      </c>
      <c r="L27" s="230">
        <f t="shared" ref="L27:M27" si="11">AVERAGE(L28:L33)</f>
        <v>0</v>
      </c>
      <c r="M27" s="222">
        <f t="shared" si="11"/>
        <v>0</v>
      </c>
      <c r="O27" s="31"/>
      <c r="P27" s="221" t="s">
        <v>18</v>
      </c>
      <c r="Q27" s="230">
        <f t="shared" ref="Q27:R27" si="12">AVERAGE(Q28:Q33)</f>
        <v>0.02777777778</v>
      </c>
      <c r="R27" s="222">
        <f t="shared" si="12"/>
        <v>0.02777777778</v>
      </c>
      <c r="T27" s="31"/>
      <c r="U27" s="10"/>
      <c r="V27" s="10"/>
      <c r="W27" s="10"/>
      <c r="X27" s="12"/>
      <c r="Y27" s="13"/>
    </row>
    <row r="28" ht="15.0" customHeight="1">
      <c r="A28" s="223" t="s">
        <v>19</v>
      </c>
      <c r="B28" s="232">
        <f>Wizard!B28*1</f>
        <v>0.1666666667</v>
      </c>
      <c r="C28" s="225">
        <f>1-(1-Wizard!B28)^1</f>
        <v>0.1666666667</v>
      </c>
      <c r="E28" s="21"/>
      <c r="F28" s="223" t="s">
        <v>19</v>
      </c>
      <c r="G28" s="232">
        <f>Wizard!F28*1</f>
        <v>0</v>
      </c>
      <c r="H28" s="225">
        <f>1-(1-Wizard!F28)^1</f>
        <v>0</v>
      </c>
      <c r="J28" s="31"/>
      <c r="K28" s="223" t="s">
        <v>19</v>
      </c>
      <c r="L28" s="232">
        <f>Wizard!J28*1</f>
        <v>0</v>
      </c>
      <c r="M28" s="225">
        <f>1-(1-Wizard!J28)^1</f>
        <v>0</v>
      </c>
      <c r="O28" s="31"/>
      <c r="P28" s="223" t="s">
        <v>19</v>
      </c>
      <c r="Q28" s="232">
        <f>Wizard!N28*1</f>
        <v>0</v>
      </c>
      <c r="R28" s="225">
        <f>1-(1-Wizard!N28)^1</f>
        <v>0</v>
      </c>
      <c r="T28" s="31"/>
      <c r="U28" s="10"/>
      <c r="V28" s="10"/>
      <c r="W28" s="10"/>
      <c r="X28" s="12"/>
      <c r="Y28" s="13"/>
    </row>
    <row r="29" ht="15.0" customHeight="1">
      <c r="A29" s="226" t="s">
        <v>350</v>
      </c>
      <c r="B29" s="234">
        <f>Wizard!B29*1</f>
        <v>0.1666666667</v>
      </c>
      <c r="C29" s="228">
        <f>1-(1-Wizard!B29)^1</f>
        <v>0.1666666667</v>
      </c>
      <c r="E29" s="21"/>
      <c r="F29" s="226" t="s">
        <v>1001</v>
      </c>
      <c r="G29" s="234">
        <f>Wizard!F29*1</f>
        <v>0</v>
      </c>
      <c r="H29" s="228">
        <f>1-(1-Wizard!F29)^1</f>
        <v>0</v>
      </c>
      <c r="J29" s="31"/>
      <c r="K29" s="226" t="s">
        <v>1002</v>
      </c>
      <c r="L29" s="234">
        <f>Wizard!J29*1</f>
        <v>0</v>
      </c>
      <c r="M29" s="228">
        <f>1-(1-Wizard!J29)^1</f>
        <v>0</v>
      </c>
      <c r="O29" s="31"/>
      <c r="P29" s="226" t="s">
        <v>1003</v>
      </c>
      <c r="Q29" s="234">
        <f>Wizard!N29*1</f>
        <v>0</v>
      </c>
      <c r="R29" s="228">
        <f>1-(1-Wizard!N29)^1</f>
        <v>0</v>
      </c>
      <c r="T29" s="31"/>
      <c r="U29" s="10"/>
      <c r="V29" s="10"/>
      <c r="W29" s="10"/>
      <c r="X29" s="12"/>
      <c r="Y29" s="13"/>
    </row>
    <row r="30" ht="15.0" customHeight="1">
      <c r="A30" s="236" t="s">
        <v>1004</v>
      </c>
      <c r="B30" s="232">
        <f>Wizard!B30*1</f>
        <v>0.1666666667</v>
      </c>
      <c r="C30" s="225">
        <f>1-(1-Wizard!B30)^1</f>
        <v>0.1666666667</v>
      </c>
      <c r="E30" s="21"/>
      <c r="F30" s="236" t="s">
        <v>1005</v>
      </c>
      <c r="G30" s="232">
        <f>Wizard!F30*1</f>
        <v>0</v>
      </c>
      <c r="H30" s="225">
        <f>1-(1-Wizard!F30)^1</f>
        <v>0</v>
      </c>
      <c r="J30" s="31"/>
      <c r="K30" s="236" t="s">
        <v>1006</v>
      </c>
      <c r="L30" s="232">
        <f>Wizard!J30*1</f>
        <v>0</v>
      </c>
      <c r="M30" s="225">
        <f>1-(1-Wizard!J30)^1</f>
        <v>0</v>
      </c>
      <c r="O30" s="31"/>
      <c r="P30" s="236" t="s">
        <v>1007</v>
      </c>
      <c r="Q30" s="232">
        <f>Wizard!N30*1</f>
        <v>0</v>
      </c>
      <c r="R30" s="225">
        <f>1-(1-Wizard!N30)^1</f>
        <v>0</v>
      </c>
      <c r="T30" s="31"/>
      <c r="U30" s="10"/>
      <c r="V30" s="10"/>
      <c r="W30" s="10"/>
      <c r="X30" s="12"/>
      <c r="Y30" s="13"/>
    </row>
    <row r="31" ht="15.0" customHeight="1">
      <c r="A31" s="226" t="s">
        <v>1008</v>
      </c>
      <c r="B31" s="234">
        <f>Wizard!B31*3</f>
        <v>0.3</v>
      </c>
      <c r="C31" s="228">
        <f>1-(1-Wizard!B31)^3</f>
        <v>0.271</v>
      </c>
      <c r="E31" s="21"/>
      <c r="F31" s="226" t="s">
        <v>1009</v>
      </c>
      <c r="G31" s="234">
        <f>Wizard!F31*1</f>
        <v>0</v>
      </c>
      <c r="H31" s="228">
        <f>1-(1-Wizard!F31)^1</f>
        <v>0</v>
      </c>
      <c r="J31" s="31"/>
      <c r="K31" s="226" t="s">
        <v>1010</v>
      </c>
      <c r="L31" s="234">
        <f>Wizard!J31*1</f>
        <v>0</v>
      </c>
      <c r="M31" s="228">
        <f>1-(1-Wizard!J31)^1</f>
        <v>0</v>
      </c>
      <c r="O31" s="31"/>
      <c r="P31" s="226" t="s">
        <v>1011</v>
      </c>
      <c r="Q31" s="234">
        <f>Wizard!N31*1</f>
        <v>0</v>
      </c>
      <c r="R31" s="228">
        <f>1-(1-Wizard!N31)^1</f>
        <v>0</v>
      </c>
      <c r="T31" s="31"/>
      <c r="U31" s="10"/>
      <c r="V31" s="10"/>
      <c r="W31" s="10"/>
      <c r="X31" s="12"/>
      <c r="Y31" s="13"/>
    </row>
    <row r="32" ht="15.0" customHeight="1">
      <c r="A32" s="236" t="s">
        <v>1012</v>
      </c>
      <c r="B32" s="232">
        <f>Wizard!B32*1</f>
        <v>0.1666666667</v>
      </c>
      <c r="C32" s="225">
        <f>1-(1-Wizard!B32)^1</f>
        <v>0.1666666667</v>
      </c>
      <c r="E32" s="21"/>
      <c r="F32" s="236" t="s">
        <v>1013</v>
      </c>
      <c r="G32" s="232">
        <f>Wizard!F32*1</f>
        <v>0</v>
      </c>
      <c r="H32" s="225">
        <f>1-(1-Wizard!F32)^1</f>
        <v>0</v>
      </c>
      <c r="J32" s="31"/>
      <c r="K32" s="236" t="s">
        <v>1014</v>
      </c>
      <c r="L32" s="232">
        <f>Wizard!J32*1</f>
        <v>0</v>
      </c>
      <c r="M32" s="225">
        <f>1-(1-Wizard!J32)^1</f>
        <v>0</v>
      </c>
      <c r="O32" s="31"/>
      <c r="P32" s="236" t="s">
        <v>1015</v>
      </c>
      <c r="Q32" s="232">
        <f>Wizard!N32*1</f>
        <v>0</v>
      </c>
      <c r="R32" s="225">
        <f>1-(1-Wizard!N32)^1</f>
        <v>0</v>
      </c>
      <c r="T32" s="31"/>
      <c r="U32" s="10"/>
      <c r="V32" s="10"/>
      <c r="W32" s="10"/>
      <c r="X32" s="12"/>
      <c r="Y32" s="13"/>
    </row>
    <row r="33" ht="15.0" customHeight="1">
      <c r="A33" s="226" t="s">
        <v>1016</v>
      </c>
      <c r="B33" s="234">
        <f>Wizard!B33*1</f>
        <v>0.1666666667</v>
      </c>
      <c r="C33" s="228">
        <f>1-(1-Wizard!B33)^1</f>
        <v>0.1666666667</v>
      </c>
      <c r="E33" s="21"/>
      <c r="F33" s="226" t="s">
        <v>1017</v>
      </c>
      <c r="G33" s="234">
        <f>Wizard!F33*1</f>
        <v>0.1</v>
      </c>
      <c r="H33" s="228">
        <f>1-(1-Wizard!F33)^1</f>
        <v>0.1</v>
      </c>
      <c r="J33" s="31"/>
      <c r="K33" s="226" t="s">
        <v>1018</v>
      </c>
      <c r="L33" s="234">
        <f>Wizard!J33*1</f>
        <v>0</v>
      </c>
      <c r="M33" s="228">
        <f>1-(1-Wizard!J33)^1</f>
        <v>0</v>
      </c>
      <c r="O33" s="31"/>
      <c r="P33" s="226" t="s">
        <v>1019</v>
      </c>
      <c r="Q33" s="234">
        <f>Wizard!N33*1</f>
        <v>0.1666666667</v>
      </c>
      <c r="R33" s="228">
        <f>1-(1-Wizard!N33)^1</f>
        <v>0.1666666667</v>
      </c>
      <c r="T33" s="31"/>
      <c r="U33" s="10"/>
      <c r="V33" s="10"/>
      <c r="W33" s="10"/>
      <c r="X33" s="12"/>
      <c r="Y33" s="13"/>
    </row>
    <row r="34" ht="15.0" customHeight="1">
      <c r="A34" s="71"/>
      <c r="B34" s="26"/>
      <c r="C34" s="26"/>
      <c r="D34" s="41"/>
      <c r="E34" s="10"/>
      <c r="F34" s="71"/>
      <c r="G34" s="26"/>
      <c r="H34" s="26"/>
      <c r="I34" s="41"/>
      <c r="J34" s="10"/>
      <c r="K34" s="71"/>
      <c r="L34" s="26"/>
      <c r="M34" s="26"/>
      <c r="N34" s="41"/>
      <c r="O34" s="10"/>
      <c r="P34" s="71"/>
      <c r="Q34" s="26"/>
      <c r="R34" s="26"/>
      <c r="S34" s="41"/>
      <c r="T34" s="10"/>
      <c r="U34" s="10"/>
      <c r="V34" s="26"/>
      <c r="W34" s="26"/>
      <c r="X34" s="27"/>
      <c r="Y34" s="13"/>
    </row>
    <row r="35" ht="15.75" customHeight="1">
      <c r="A35" s="238"/>
      <c r="B35" s="29" t="s">
        <v>338</v>
      </c>
      <c r="C35" s="29" t="s">
        <v>339</v>
      </c>
      <c r="D35" s="30" t="s">
        <v>1020</v>
      </c>
      <c r="E35" s="31"/>
      <c r="F35" s="238"/>
      <c r="G35" s="29" t="s">
        <v>338</v>
      </c>
      <c r="H35" s="29" t="s">
        <v>339</v>
      </c>
      <c r="I35" s="30" t="s">
        <v>1021</v>
      </c>
      <c r="J35" s="31"/>
      <c r="K35" s="238"/>
      <c r="L35" s="29" t="s">
        <v>338</v>
      </c>
      <c r="M35" s="29" t="s">
        <v>339</v>
      </c>
      <c r="N35" s="30" t="s">
        <v>1022</v>
      </c>
      <c r="O35" s="31"/>
      <c r="P35" s="238"/>
      <c r="Q35" s="29" t="s">
        <v>338</v>
      </c>
      <c r="R35" s="29" t="s">
        <v>339</v>
      </c>
      <c r="S35" s="30" t="s">
        <v>1103</v>
      </c>
      <c r="T35" s="21"/>
      <c r="U35" s="28"/>
      <c r="V35" s="29" t="s">
        <v>338</v>
      </c>
      <c r="W35" s="29" t="s">
        <v>339</v>
      </c>
      <c r="X35" s="43" t="s">
        <v>1104</v>
      </c>
      <c r="Y35" s="96"/>
    </row>
    <row r="36" ht="17.25" customHeight="1">
      <c r="A36" s="221" t="s">
        <v>18</v>
      </c>
      <c r="B36" s="230">
        <f t="shared" ref="B36:C36" si="13">AVERAGE(B37:B42)</f>
        <v>0.2083333333</v>
      </c>
      <c r="C36" s="222">
        <f t="shared" si="13"/>
        <v>0.2083333333</v>
      </c>
      <c r="E36" s="31"/>
      <c r="F36" s="221" t="s">
        <v>18</v>
      </c>
      <c r="G36" s="230">
        <f t="shared" ref="G36:H36" si="14">AVERAGE(G37:G42)</f>
        <v>0.2707614943</v>
      </c>
      <c r="H36" s="222">
        <f t="shared" si="14"/>
        <v>0.250255919</v>
      </c>
      <c r="J36" s="31"/>
      <c r="K36" s="221" t="s">
        <v>18</v>
      </c>
      <c r="L36" s="230">
        <f t="shared" ref="L36:M36" si="15">AVERAGE(L37:L42)</f>
        <v>0</v>
      </c>
      <c r="M36" s="222">
        <f t="shared" si="15"/>
        <v>0</v>
      </c>
      <c r="O36" s="31"/>
      <c r="P36" s="221" t="s">
        <v>18</v>
      </c>
      <c r="Q36" s="230">
        <f t="shared" ref="Q36:R36" si="16">AVERAGE(Q37:Q42)</f>
        <v>0.1514362774</v>
      </c>
      <c r="R36" s="222">
        <f t="shared" si="16"/>
        <v>0.1434006091</v>
      </c>
      <c r="T36" s="21"/>
      <c r="U36" s="221" t="s">
        <v>18</v>
      </c>
      <c r="V36" s="230">
        <f t="shared" ref="V36:W36" si="17">AVERAGE(V37:V42)</f>
        <v>0.06041666667</v>
      </c>
      <c r="W36" s="222">
        <f t="shared" si="17"/>
        <v>0.05896574959</v>
      </c>
      <c r="Y36" s="96"/>
    </row>
    <row r="37" ht="15.0" customHeight="1">
      <c r="A37" s="223" t="s">
        <v>19</v>
      </c>
      <c r="B37" s="232">
        <f>Wizard!B37*1</f>
        <v>0.2</v>
      </c>
      <c r="C37" s="225">
        <f>1-(1-Wizard!B37)^1</f>
        <v>0.2</v>
      </c>
      <c r="E37" s="31"/>
      <c r="F37" s="223" t="s">
        <v>19</v>
      </c>
      <c r="G37" s="232">
        <f>Wizard!F37*2</f>
        <v>0.3125</v>
      </c>
      <c r="H37" s="225">
        <f>1-(1-Wizard!F37)^2</f>
        <v>0.2880859375</v>
      </c>
      <c r="J37" s="31"/>
      <c r="K37" s="223" t="s">
        <v>19</v>
      </c>
      <c r="L37" s="232">
        <f>Wizard!J37*1</f>
        <v>0</v>
      </c>
      <c r="M37" s="225">
        <f>1-(1-Wizard!J37)^1</f>
        <v>0</v>
      </c>
      <c r="O37" s="31"/>
      <c r="P37" s="223" t="s">
        <v>19</v>
      </c>
      <c r="Q37" s="232">
        <f>Wizard!N37*2.5</f>
        <v>0.15625</v>
      </c>
      <c r="R37" s="225">
        <f>1-(1-Wizard!N37)^2.5</f>
        <v>0.1490026827</v>
      </c>
      <c r="T37" s="21"/>
      <c r="U37" s="223" t="s">
        <v>19</v>
      </c>
      <c r="V37" s="232">
        <f>Wizard!R37*5</f>
        <v>0.0625</v>
      </c>
      <c r="W37" s="225">
        <f>1-(1-Wizard!R37)^5</f>
        <v>0.06095690948</v>
      </c>
      <c r="Y37" s="96"/>
    </row>
    <row r="38" ht="15.0" customHeight="1">
      <c r="A38" s="226" t="s">
        <v>1025</v>
      </c>
      <c r="B38" s="234">
        <f>Wizard!B38*1</f>
        <v>0.25</v>
      </c>
      <c r="C38" s="228">
        <f>1-(1-Wizard!B38)^1</f>
        <v>0.25</v>
      </c>
      <c r="E38" s="31"/>
      <c r="F38" s="226" t="s">
        <v>1026</v>
      </c>
      <c r="G38" s="234">
        <f>Wizard!F38*2</f>
        <v>0.3125</v>
      </c>
      <c r="H38" s="228">
        <f>1-(1-Wizard!F38)^2</f>
        <v>0.2880859375</v>
      </c>
      <c r="J38" s="31"/>
      <c r="K38" s="226" t="s">
        <v>1027</v>
      </c>
      <c r="L38" s="234">
        <f>Wizard!J38*1</f>
        <v>0</v>
      </c>
      <c r="M38" s="228">
        <f>1-(1-Wizard!J38)^1</f>
        <v>0</v>
      </c>
      <c r="O38" s="31"/>
      <c r="P38" s="226" t="s">
        <v>1028</v>
      </c>
      <c r="Q38" s="234">
        <f>Wizard!N38*2.5</f>
        <v>0.1041666667</v>
      </c>
      <c r="R38" s="228">
        <f>1-(1-Wizard!N38)^2.5</f>
        <v>0.1009341832</v>
      </c>
      <c r="T38" s="21"/>
      <c r="U38" s="226" t="s">
        <v>1029</v>
      </c>
      <c r="V38" s="234">
        <f>Wizard!R38*5</f>
        <v>0.0625</v>
      </c>
      <c r="W38" s="228">
        <f>1-(1-Wizard!R38)^5</f>
        <v>0.06095690948</v>
      </c>
      <c r="Y38" s="96"/>
    </row>
    <row r="39" ht="15.0" customHeight="1">
      <c r="A39" s="236" t="s">
        <v>1030</v>
      </c>
      <c r="B39" s="232">
        <f>Wizard!B39*1</f>
        <v>0.2</v>
      </c>
      <c r="C39" s="225">
        <f>1-(1-Wizard!B39)^1</f>
        <v>0.2</v>
      </c>
      <c r="E39" s="31"/>
      <c r="F39" s="236" t="s">
        <v>1031</v>
      </c>
      <c r="G39" s="232">
        <f>Wizard!F39*2</f>
        <v>0.3125</v>
      </c>
      <c r="H39" s="225">
        <f>1-(1-Wizard!F39)^2</f>
        <v>0.2880859375</v>
      </c>
      <c r="J39" s="31"/>
      <c r="K39" s="236" t="s">
        <v>1032</v>
      </c>
      <c r="L39" s="232">
        <f>Wizard!J39*1</f>
        <v>0</v>
      </c>
      <c r="M39" s="225">
        <f>1-(1-Wizard!J39)^1</f>
        <v>0</v>
      </c>
      <c r="O39" s="31"/>
      <c r="P39" s="236" t="s">
        <v>1033</v>
      </c>
      <c r="Q39" s="232">
        <f>Wizard!N39*2.5</f>
        <v>0.15625</v>
      </c>
      <c r="R39" s="225">
        <f>1-(1-Wizard!N39)^2.5</f>
        <v>0.1490026827</v>
      </c>
      <c r="T39" s="21"/>
      <c r="U39" s="229" t="s">
        <v>1034</v>
      </c>
      <c r="V39" s="232">
        <f>Wizard!R39*5</f>
        <v>0.0625</v>
      </c>
      <c r="W39" s="225">
        <f>1-(1-Wizard!R39)^5</f>
        <v>0.06095690948</v>
      </c>
      <c r="Y39" s="96"/>
    </row>
    <row r="40" ht="15.0" customHeight="1">
      <c r="A40" s="226" t="s">
        <v>1035</v>
      </c>
      <c r="B40" s="234">
        <f>Wizard!B40*1</f>
        <v>0.2</v>
      </c>
      <c r="C40" s="228">
        <f>1-(1-Wizard!B40)^1</f>
        <v>0.2</v>
      </c>
      <c r="E40" s="31"/>
      <c r="F40" s="226" t="s">
        <v>1036</v>
      </c>
      <c r="G40" s="234">
        <f>Wizard!F40*2</f>
        <v>0.3125</v>
      </c>
      <c r="H40" s="228">
        <f>1-(1-Wizard!F40)^2</f>
        <v>0.2880859375</v>
      </c>
      <c r="J40" s="31"/>
      <c r="K40" s="226" t="s">
        <v>1037</v>
      </c>
      <c r="L40" s="234">
        <f>Wizard!J40*1</f>
        <v>0</v>
      </c>
      <c r="M40" s="228">
        <f>1-(1-Wizard!J40)^1</f>
        <v>0</v>
      </c>
      <c r="O40" s="31"/>
      <c r="P40" s="226" t="s">
        <v>1038</v>
      </c>
      <c r="Q40" s="234">
        <f>Wizard!N40*2.5</f>
        <v>0.15625</v>
      </c>
      <c r="R40" s="228">
        <f>1-(1-Wizard!N40)^2.5</f>
        <v>0.1490026827</v>
      </c>
      <c r="T40" s="21"/>
      <c r="U40" s="226" t="s">
        <v>1039</v>
      </c>
      <c r="V40" s="234">
        <f>Wizard!R40*5</f>
        <v>0.0625</v>
      </c>
      <c r="W40" s="228">
        <f>1-(1-Wizard!R40)^5</f>
        <v>0.06095690948</v>
      </c>
      <c r="Y40" s="96"/>
    </row>
    <row r="41" ht="15.0" customHeight="1">
      <c r="A41" s="236" t="s">
        <v>1040</v>
      </c>
      <c r="B41" s="232">
        <f>Wizard!B41*1</f>
        <v>0.2</v>
      </c>
      <c r="C41" s="225">
        <f>1-(1-Wizard!B41)^1</f>
        <v>0.2</v>
      </c>
      <c r="E41" s="31"/>
      <c r="F41" s="236" t="s">
        <v>1041</v>
      </c>
      <c r="G41" s="232">
        <f>Wizard!F41*2</f>
        <v>0.06206896552</v>
      </c>
      <c r="H41" s="225">
        <f>1-(1-Wizard!F41)^2</f>
        <v>0.0611058264</v>
      </c>
      <c r="J41" s="31"/>
      <c r="K41" s="236" t="s">
        <v>1042</v>
      </c>
      <c r="L41" s="232">
        <f>Wizard!J41*1</f>
        <v>0</v>
      </c>
      <c r="M41" s="225">
        <f>1-(1-Wizard!J41)^1</f>
        <v>0</v>
      </c>
      <c r="O41" s="31"/>
      <c r="P41" s="236" t="s">
        <v>1043</v>
      </c>
      <c r="Q41" s="232">
        <f>Wizard!N41*2.5</f>
        <v>0.06172839506</v>
      </c>
      <c r="R41" s="225">
        <f>1-(1-Wizard!N41)^2.5</f>
        <v>0.06058999545</v>
      </c>
      <c r="T41" s="21"/>
      <c r="U41" s="229" t="s">
        <v>1044</v>
      </c>
      <c r="V41" s="232">
        <f>Wizard!R41*5</f>
        <v>0.0625</v>
      </c>
      <c r="W41" s="225">
        <f>1-(1-Wizard!R41)^5</f>
        <v>0.06095690948</v>
      </c>
      <c r="Y41" s="96"/>
    </row>
    <row r="42" ht="15.0" customHeight="1">
      <c r="A42" s="226" t="s">
        <v>1045</v>
      </c>
      <c r="B42" s="234">
        <f>Wizard!B42*1</f>
        <v>0.2</v>
      </c>
      <c r="C42" s="228">
        <f>1-(1-Wizard!B42)^1</f>
        <v>0.2</v>
      </c>
      <c r="E42" s="31"/>
      <c r="F42" s="226" t="s">
        <v>1046</v>
      </c>
      <c r="G42" s="234">
        <f>Wizard!F42*2</f>
        <v>0.3125</v>
      </c>
      <c r="H42" s="228">
        <f>1-(1-Wizard!F42)^2</f>
        <v>0.2880859375</v>
      </c>
      <c r="J42" s="31"/>
      <c r="K42" s="226" t="s">
        <v>1047</v>
      </c>
      <c r="L42" s="234">
        <f>Wizard!J42*1</f>
        <v>0</v>
      </c>
      <c r="M42" s="228">
        <f>1-(1-Wizard!J42)^1</f>
        <v>0</v>
      </c>
      <c r="O42" s="31"/>
      <c r="P42" s="226" t="s">
        <v>1048</v>
      </c>
      <c r="Q42" s="234">
        <f>Wizard!N42*2.5</f>
        <v>0.2739726027</v>
      </c>
      <c r="R42" s="228">
        <f>1-(1-Wizard!N42)^2.5</f>
        <v>0.251871428</v>
      </c>
      <c r="T42" s="21"/>
      <c r="U42" s="226" t="s">
        <v>1049</v>
      </c>
      <c r="V42" s="234">
        <f>Wizard!R42*5</f>
        <v>0.05</v>
      </c>
      <c r="W42" s="228">
        <f>1-(1-Wizard!R42)^5</f>
        <v>0.0490099501</v>
      </c>
      <c r="Y42" s="96"/>
    </row>
    <row r="43" ht="15.0" customHeight="1">
      <c r="A43" s="71"/>
      <c r="B43" s="26"/>
      <c r="C43" s="26"/>
      <c r="D43" s="41"/>
      <c r="E43" s="10"/>
      <c r="F43" s="71"/>
      <c r="G43" s="26"/>
      <c r="H43" s="26"/>
      <c r="I43" s="41"/>
      <c r="J43" s="10"/>
      <c r="K43" s="71"/>
      <c r="L43" s="26"/>
      <c r="M43" s="26"/>
      <c r="N43" s="41"/>
      <c r="O43" s="10"/>
      <c r="P43" s="71"/>
      <c r="Q43" s="26"/>
      <c r="R43" s="26"/>
      <c r="S43" s="41"/>
      <c r="T43" s="10"/>
      <c r="U43" s="10"/>
      <c r="V43" s="26"/>
      <c r="W43" s="26"/>
      <c r="X43" s="42"/>
      <c r="Y43" s="13"/>
    </row>
    <row r="44" ht="15.75" customHeight="1">
      <c r="A44" s="238"/>
      <c r="B44" s="29" t="s">
        <v>338</v>
      </c>
      <c r="C44" s="29" t="s">
        <v>339</v>
      </c>
      <c r="D44" s="30" t="s">
        <v>1050</v>
      </c>
      <c r="E44" s="31"/>
      <c r="F44" s="238"/>
      <c r="G44" s="29" t="s">
        <v>338</v>
      </c>
      <c r="H44" s="29" t="s">
        <v>339</v>
      </c>
      <c r="I44" s="30" t="s">
        <v>1051</v>
      </c>
      <c r="J44" s="31"/>
      <c r="K44" s="238"/>
      <c r="L44" s="29" t="s">
        <v>338</v>
      </c>
      <c r="M44" s="29" t="s">
        <v>339</v>
      </c>
      <c r="N44" s="30" t="s">
        <v>1052</v>
      </c>
      <c r="O44" s="31"/>
      <c r="P44" s="238"/>
      <c r="Q44" s="29" t="s">
        <v>338</v>
      </c>
      <c r="R44" s="29" t="s">
        <v>339</v>
      </c>
      <c r="S44" s="30" t="s">
        <v>1053</v>
      </c>
      <c r="T44" s="31"/>
      <c r="U44" s="28"/>
      <c r="V44" s="29" t="s">
        <v>338</v>
      </c>
      <c r="W44" s="29" t="s">
        <v>339</v>
      </c>
      <c r="X44" s="43" t="s">
        <v>1054</v>
      </c>
      <c r="Y44" s="96"/>
    </row>
    <row r="45" ht="17.25" customHeight="1">
      <c r="A45" s="221" t="s">
        <v>18</v>
      </c>
      <c r="B45" s="230">
        <f t="shared" ref="B45:C45" si="18">AVERAGE(B46:B51)</f>
        <v>0.04166666667</v>
      </c>
      <c r="C45" s="222">
        <f t="shared" si="18"/>
        <v>0.0390625</v>
      </c>
      <c r="E45" s="31"/>
      <c r="F45" s="221" t="s">
        <v>18</v>
      </c>
      <c r="G45" s="230">
        <f t="shared" ref="G45:H45" si="19">AVERAGE(G46:G51)</f>
        <v>0.1</v>
      </c>
      <c r="H45" s="222">
        <f t="shared" si="19"/>
        <v>0.1</v>
      </c>
      <c r="J45" s="31"/>
      <c r="K45" s="221" t="s">
        <v>18</v>
      </c>
      <c r="L45" s="230">
        <f t="shared" ref="L45:M45" si="20">AVERAGE(L46:L51)</f>
        <v>0</v>
      </c>
      <c r="M45" s="222">
        <f t="shared" si="20"/>
        <v>0</v>
      </c>
      <c r="O45" s="31"/>
      <c r="P45" s="221" t="s">
        <v>18</v>
      </c>
      <c r="Q45" s="230">
        <f t="shared" ref="Q45:R45" si="21">AVERAGE(Q46:Q51)</f>
        <v>0</v>
      </c>
      <c r="R45" s="222">
        <f t="shared" si="21"/>
        <v>0</v>
      </c>
      <c r="T45" s="31"/>
      <c r="U45" s="221" t="s">
        <v>18</v>
      </c>
      <c r="V45" s="230">
        <f t="shared" ref="V45:W45" si="22">AVERAGE(V46:V51)</f>
        <v>0</v>
      </c>
      <c r="W45" s="222">
        <f t="shared" si="22"/>
        <v>0</v>
      </c>
      <c r="Y45" s="96"/>
    </row>
    <row r="46" ht="15.0" customHeight="1">
      <c r="A46" s="223" t="s">
        <v>19</v>
      </c>
      <c r="B46" s="232">
        <f>Wizard!B46*1</f>
        <v>0</v>
      </c>
      <c r="C46" s="225">
        <f>1-(1-Wizard!B46)^1</f>
        <v>0</v>
      </c>
      <c r="E46" s="31"/>
      <c r="F46" s="223" t="s">
        <v>19</v>
      </c>
      <c r="G46" s="232">
        <f>Wizard!F46*1</f>
        <v>0.1</v>
      </c>
      <c r="H46" s="225">
        <f>1-(1-Wizard!F46)^1</f>
        <v>0.1</v>
      </c>
      <c r="J46" s="31"/>
      <c r="K46" s="223" t="s">
        <v>19</v>
      </c>
      <c r="L46" s="232">
        <f>Wizard!J46*1</f>
        <v>0</v>
      </c>
      <c r="M46" s="225">
        <f>1-(1-Wizard!J46)^1</f>
        <v>0</v>
      </c>
      <c r="O46" s="31"/>
      <c r="P46" s="223" t="s">
        <v>19</v>
      </c>
      <c r="Q46" s="232">
        <f>Wizard!N46*1</f>
        <v>0</v>
      </c>
      <c r="R46" s="225">
        <f>1-(1-Wizard!N46)^1</f>
        <v>0</v>
      </c>
      <c r="T46" s="31"/>
      <c r="U46" s="223" t="s">
        <v>19</v>
      </c>
      <c r="V46" s="232">
        <f>Wizard!R46*1</f>
        <v>0</v>
      </c>
      <c r="W46" s="225">
        <f>1-(1-Wizard!R46)^1</f>
        <v>0</v>
      </c>
      <c r="Y46" s="96"/>
    </row>
    <row r="47" ht="15.0" customHeight="1">
      <c r="A47" s="226" t="s">
        <v>1055</v>
      </c>
      <c r="B47" s="234">
        <f>Wizard!B47*1</f>
        <v>0</v>
      </c>
      <c r="C47" s="228">
        <f>1-(1-Wizard!B47)^1</f>
        <v>0</v>
      </c>
      <c r="E47" s="31"/>
      <c r="F47" s="226" t="s">
        <v>1056</v>
      </c>
      <c r="G47" s="234">
        <f>Wizard!F47*1</f>
        <v>0.1</v>
      </c>
      <c r="H47" s="228">
        <f>1-(1-Wizard!F47)^1</f>
        <v>0.1</v>
      </c>
      <c r="J47" s="31"/>
      <c r="K47" s="226" t="s">
        <v>349</v>
      </c>
      <c r="L47" s="234">
        <f>Wizard!J47*1</f>
        <v>0</v>
      </c>
      <c r="M47" s="228">
        <f>1-(1-Wizard!J47)^1</f>
        <v>0</v>
      </c>
      <c r="O47" s="31"/>
      <c r="P47" s="226" t="s">
        <v>1057</v>
      </c>
      <c r="Q47" s="234">
        <f>Wizard!N47*1</f>
        <v>0</v>
      </c>
      <c r="R47" s="228">
        <f>1-(1-Wizard!N47)^1</f>
        <v>0</v>
      </c>
      <c r="T47" s="31"/>
      <c r="U47" s="226" t="s">
        <v>1058</v>
      </c>
      <c r="V47" s="234">
        <f>Wizard!R47*1</f>
        <v>0</v>
      </c>
      <c r="W47" s="228">
        <f>1-(1-Wizard!R47)^1</f>
        <v>0</v>
      </c>
      <c r="Y47" s="96"/>
    </row>
    <row r="48" ht="15.0" customHeight="1">
      <c r="A48" s="236" t="s">
        <v>1059</v>
      </c>
      <c r="B48" s="232">
        <f>Wizard!B48*1</f>
        <v>0</v>
      </c>
      <c r="C48" s="225">
        <f>1-(1-Wizard!B48)^1</f>
        <v>0</v>
      </c>
      <c r="E48" s="31"/>
      <c r="F48" s="236" t="s">
        <v>1060</v>
      </c>
      <c r="G48" s="232">
        <f>Wizard!F48*1</f>
        <v>0.1</v>
      </c>
      <c r="H48" s="225">
        <f>1-(1-Wizard!F48)^1</f>
        <v>0.1</v>
      </c>
      <c r="J48" s="31"/>
      <c r="K48" s="236" t="s">
        <v>1061</v>
      </c>
      <c r="L48" s="232">
        <f>Wizard!J48*1</f>
        <v>0</v>
      </c>
      <c r="M48" s="225">
        <f>1-(1-Wizard!J48)^1</f>
        <v>0</v>
      </c>
      <c r="O48" s="31"/>
      <c r="P48" s="236" t="s">
        <v>1062</v>
      </c>
      <c r="Q48" s="232">
        <f>Wizard!N48*1</f>
        <v>0</v>
      </c>
      <c r="R48" s="225">
        <f>1-(1-Wizard!N48)^1</f>
        <v>0</v>
      </c>
      <c r="T48" s="31"/>
      <c r="U48" s="229" t="s">
        <v>1063</v>
      </c>
      <c r="V48" s="232">
        <f>Wizard!R48*1</f>
        <v>0</v>
      </c>
      <c r="W48" s="225">
        <f>1-(1-Wizard!R48)^1</f>
        <v>0</v>
      </c>
      <c r="Y48" s="96"/>
    </row>
    <row r="49" ht="15.0" customHeight="1">
      <c r="A49" s="226" t="s">
        <v>1064</v>
      </c>
      <c r="B49" s="234">
        <f>Wizard!B49*1</f>
        <v>0</v>
      </c>
      <c r="C49" s="228">
        <f>1-(1-Wizard!B49)^1</f>
        <v>0</v>
      </c>
      <c r="E49" s="31"/>
      <c r="F49" s="226" t="s">
        <v>1065</v>
      </c>
      <c r="G49" s="234">
        <f>Wizard!F49*1</f>
        <v>0.1</v>
      </c>
      <c r="H49" s="228">
        <f>1-(1-Wizard!F49)^1</f>
        <v>0.1</v>
      </c>
      <c r="J49" s="31"/>
      <c r="K49" s="226" t="s">
        <v>1066</v>
      </c>
      <c r="L49" s="234">
        <f>Wizard!J49*1</f>
        <v>0</v>
      </c>
      <c r="M49" s="228">
        <f>1-(1-Wizard!J49)^1</f>
        <v>0</v>
      </c>
      <c r="O49" s="31"/>
      <c r="P49" s="226" t="s">
        <v>1067</v>
      </c>
      <c r="Q49" s="234">
        <f>Wizard!N49*1</f>
        <v>0</v>
      </c>
      <c r="R49" s="228">
        <f>1-(1-Wizard!N49)^1</f>
        <v>0</v>
      </c>
      <c r="T49" s="31"/>
      <c r="U49" s="226" t="s">
        <v>1068</v>
      </c>
      <c r="V49" s="234">
        <f>Wizard!R49*1</f>
        <v>0</v>
      </c>
      <c r="W49" s="228">
        <f>1-(1-Wizard!R49)^1</f>
        <v>0</v>
      </c>
      <c r="Y49" s="96"/>
    </row>
    <row r="50" ht="15.0" customHeight="1">
      <c r="A50" s="236" t="s">
        <v>1069</v>
      </c>
      <c r="B50" s="232">
        <f>Wizard!B50*1</f>
        <v>0</v>
      </c>
      <c r="C50" s="225">
        <f>1-(1-Wizard!B50)^1</f>
        <v>0</v>
      </c>
      <c r="E50" s="31"/>
      <c r="F50" s="236" t="s">
        <v>1070</v>
      </c>
      <c r="G50" s="232">
        <f>Wizard!F50*1</f>
        <v>0.1</v>
      </c>
      <c r="H50" s="225">
        <f>1-(1-Wizard!F50)^1</f>
        <v>0.1</v>
      </c>
      <c r="J50" s="31"/>
      <c r="K50" s="236" t="s">
        <v>1071</v>
      </c>
      <c r="L50" s="232">
        <f>Wizard!J50*1</f>
        <v>0</v>
      </c>
      <c r="M50" s="225">
        <f>1-(1-Wizard!J50)^1</f>
        <v>0</v>
      </c>
      <c r="O50" s="31"/>
      <c r="P50" s="236" t="s">
        <v>1072</v>
      </c>
      <c r="Q50" s="232">
        <f>Wizard!N50*1</f>
        <v>0</v>
      </c>
      <c r="R50" s="225">
        <f>1-(1-Wizard!N50)^1</f>
        <v>0</v>
      </c>
      <c r="T50" s="31"/>
      <c r="U50" s="229" t="s">
        <v>1073</v>
      </c>
      <c r="V50" s="232">
        <f>Wizard!R50*1</f>
        <v>0</v>
      </c>
      <c r="W50" s="225">
        <f>1-(1-Wizard!R50)^1</f>
        <v>0</v>
      </c>
      <c r="Y50" s="96"/>
    </row>
    <row r="51" ht="15.0" customHeight="1">
      <c r="A51" s="226" t="s">
        <v>1074</v>
      </c>
      <c r="B51" s="234">
        <f>Wizard!B51*2</f>
        <v>0.25</v>
      </c>
      <c r="C51" s="228">
        <f>1-(1-Wizard!B51)^2</f>
        <v>0.234375</v>
      </c>
      <c r="E51" s="31"/>
      <c r="F51" s="226" t="s">
        <v>1075</v>
      </c>
      <c r="G51" s="234">
        <f>Wizard!F51*1</f>
        <v>0.1</v>
      </c>
      <c r="H51" s="228">
        <f>1-(1-Wizard!F51)^1</f>
        <v>0.1</v>
      </c>
      <c r="J51" s="31"/>
      <c r="K51" s="226" t="s">
        <v>1076</v>
      </c>
      <c r="L51" s="234">
        <f>Wizard!J51*1</f>
        <v>0</v>
      </c>
      <c r="M51" s="228">
        <f>1-(1-Wizard!J51)^1</f>
        <v>0</v>
      </c>
      <c r="O51" s="31"/>
      <c r="P51" s="226" t="s">
        <v>1077</v>
      </c>
      <c r="Q51" s="234">
        <f>Wizard!N51*1</f>
        <v>0</v>
      </c>
      <c r="R51" s="228">
        <f>1-(1-Wizard!N51)^1</f>
        <v>0</v>
      </c>
      <c r="T51" s="31"/>
      <c r="U51" s="226" t="s">
        <v>1078</v>
      </c>
      <c r="V51" s="234">
        <f>Wizard!R51*1</f>
        <v>0</v>
      </c>
      <c r="W51" s="228">
        <f>1-(1-Wizard!R51)^1</f>
        <v>0</v>
      </c>
      <c r="Y51" s="96"/>
    </row>
    <row r="52" ht="15.0" customHeight="1">
      <c r="A52" s="71"/>
      <c r="B52" s="26"/>
      <c r="C52" s="26"/>
      <c r="D52" s="41"/>
      <c r="E52" s="10"/>
      <c r="F52" s="71"/>
      <c r="G52" s="26"/>
      <c r="H52" s="26"/>
      <c r="I52" s="41"/>
      <c r="J52" s="10"/>
      <c r="K52" s="71"/>
      <c r="L52" s="26"/>
      <c r="M52" s="26"/>
      <c r="N52" s="41"/>
      <c r="O52" s="10"/>
      <c r="P52" s="71"/>
      <c r="Q52" s="26"/>
      <c r="R52" s="26"/>
      <c r="S52" s="41"/>
      <c r="T52" s="10"/>
      <c r="U52" s="10"/>
      <c r="V52" s="10"/>
      <c r="W52" s="10"/>
      <c r="X52" s="48"/>
      <c r="Y52" s="13"/>
    </row>
    <row r="53" ht="15.75" customHeight="1">
      <c r="A53" s="238"/>
      <c r="B53" s="29" t="s">
        <v>338</v>
      </c>
      <c r="C53" s="29" t="s">
        <v>339</v>
      </c>
      <c r="D53" s="30" t="s">
        <v>1079</v>
      </c>
      <c r="E53" s="31"/>
      <c r="F53" s="238"/>
      <c r="G53" s="29" t="s">
        <v>338</v>
      </c>
      <c r="H53" s="29" t="s">
        <v>339</v>
      </c>
      <c r="I53" s="30" t="s">
        <v>1080</v>
      </c>
      <c r="J53" s="31"/>
      <c r="K53" s="238"/>
      <c r="L53" s="29" t="s">
        <v>338</v>
      </c>
      <c r="M53" s="29" t="s">
        <v>339</v>
      </c>
      <c r="N53" s="30" t="s">
        <v>1081</v>
      </c>
      <c r="O53" s="31"/>
      <c r="P53" s="238"/>
      <c r="Q53" s="29" t="s">
        <v>338</v>
      </c>
      <c r="R53" s="29" t="s">
        <v>339</v>
      </c>
      <c r="S53" s="30" t="s">
        <v>1082</v>
      </c>
      <c r="T53" s="31"/>
      <c r="U53" s="10"/>
      <c r="V53" s="10"/>
      <c r="W53" s="10"/>
      <c r="X53" s="12"/>
      <c r="Y53" s="13"/>
    </row>
    <row r="54" ht="17.25" customHeight="1">
      <c r="A54" s="221" t="s">
        <v>18</v>
      </c>
      <c r="B54" s="230">
        <f t="shared" ref="B54:C54" si="23">AVERAGE(B55:B60)</f>
        <v>0.03288888889</v>
      </c>
      <c r="C54" s="222">
        <f t="shared" si="23"/>
        <v>0.03288888889</v>
      </c>
      <c r="E54" s="31"/>
      <c r="F54" s="221" t="s">
        <v>18</v>
      </c>
      <c r="G54" s="230">
        <f t="shared" ref="G54:H54" si="24">AVERAGE(G55:G60)</f>
        <v>0</v>
      </c>
      <c r="H54" s="222">
        <f t="shared" si="24"/>
        <v>0</v>
      </c>
      <c r="J54" s="31"/>
      <c r="K54" s="221" t="s">
        <v>18</v>
      </c>
      <c r="L54" s="230">
        <f t="shared" ref="L54:M54" si="25">AVERAGE(L55:L60)</f>
        <v>0.2333333333</v>
      </c>
      <c r="M54" s="222">
        <f t="shared" si="25"/>
        <v>0.26565</v>
      </c>
      <c r="O54" s="31"/>
      <c r="P54" s="221" t="s">
        <v>18</v>
      </c>
      <c r="Q54" s="230">
        <f t="shared" ref="Q54:R54" si="26">AVERAGE(Q55:Q60)</f>
        <v>0.128968254</v>
      </c>
      <c r="R54" s="222">
        <f t="shared" si="26"/>
        <v>0.1224491753</v>
      </c>
      <c r="T54" s="31"/>
      <c r="U54" s="10"/>
      <c r="V54" s="10"/>
      <c r="W54" s="10"/>
      <c r="X54" s="12"/>
      <c r="Y54" s="13"/>
    </row>
    <row r="55" ht="15.0" customHeight="1">
      <c r="A55" s="223" t="s">
        <v>19</v>
      </c>
      <c r="B55" s="232">
        <f>Wizard!B55*1</f>
        <v>0.04</v>
      </c>
      <c r="C55" s="225">
        <f>1-(1-Wizard!B55)^1</f>
        <v>0.04</v>
      </c>
      <c r="E55" s="31"/>
      <c r="F55" s="223" t="s">
        <v>19</v>
      </c>
      <c r="G55" s="232">
        <f>Wizard!F55*1</f>
        <v>0</v>
      </c>
      <c r="H55" s="225">
        <f>1-(1-Wizard!F55)^1</f>
        <v>0</v>
      </c>
      <c r="J55" s="31"/>
      <c r="K55" s="223" t="s">
        <v>19</v>
      </c>
      <c r="L55" s="232">
        <f>Wizard!J55*1</f>
        <v>0</v>
      </c>
      <c r="M55" s="225">
        <f>1-(1-Wizard!J55)^1</f>
        <v>0</v>
      </c>
      <c r="O55" s="31"/>
      <c r="P55" s="223" t="s">
        <v>19</v>
      </c>
      <c r="Q55" s="232">
        <f>Wizard!N55*5</f>
        <v>0.1333333333</v>
      </c>
      <c r="R55" s="225">
        <f>1-(1-Wizard!N55)^5</f>
        <v>0.1264093369</v>
      </c>
      <c r="T55" s="31"/>
      <c r="U55" s="10"/>
      <c r="V55" s="10"/>
      <c r="W55" s="10"/>
      <c r="X55" s="12"/>
      <c r="Y55" s="13"/>
    </row>
    <row r="56" ht="15.0" customHeight="1">
      <c r="A56" s="226" t="s">
        <v>431</v>
      </c>
      <c r="B56" s="234">
        <f>Wizard!B56*1</f>
        <v>0.04</v>
      </c>
      <c r="C56" s="228">
        <f>1-(1-Wizard!B56)^1</f>
        <v>0.04</v>
      </c>
      <c r="E56" s="31"/>
      <c r="F56" s="226" t="s">
        <v>1083</v>
      </c>
      <c r="G56" s="234">
        <f>Wizard!F56*1</f>
        <v>0</v>
      </c>
      <c r="H56" s="228">
        <f>1-(1-Wizard!F56)^1</f>
        <v>0</v>
      </c>
      <c r="J56" s="31"/>
      <c r="K56" s="226" t="s">
        <v>1084</v>
      </c>
      <c r="L56" s="234">
        <f>Wizard!J56*1</f>
        <v>0.25</v>
      </c>
      <c r="M56" s="228">
        <f>1-(1-Wizard!J56)^1</f>
        <v>0.25</v>
      </c>
      <c r="O56" s="31"/>
      <c r="P56" s="226" t="s">
        <v>1085</v>
      </c>
      <c r="Q56" s="234">
        <f>Wizard!N56*5</f>
        <v>0.1071428571</v>
      </c>
      <c r="R56" s="228">
        <f>1-(1-Wizard!N56)^5</f>
        <v>0.1026483672</v>
      </c>
      <c r="T56" s="31"/>
      <c r="U56" s="10"/>
      <c r="V56" s="10"/>
      <c r="W56" s="10"/>
      <c r="X56" s="12"/>
      <c r="Y56" s="13"/>
    </row>
    <row r="57" ht="15.0" customHeight="1">
      <c r="A57" s="236" t="s">
        <v>1086</v>
      </c>
      <c r="B57" s="232">
        <f>Wizard!B57*1</f>
        <v>0.04</v>
      </c>
      <c r="C57" s="225">
        <f>1-(1-Wizard!B57)^1</f>
        <v>0.04</v>
      </c>
      <c r="E57" s="31"/>
      <c r="F57" s="236" t="s">
        <v>1087</v>
      </c>
      <c r="G57" s="232">
        <f>Wizard!F57*1</f>
        <v>0</v>
      </c>
      <c r="H57" s="225">
        <f>1-(1-Wizard!F57)^1</f>
        <v>0</v>
      </c>
      <c r="J57" s="31"/>
      <c r="K57" s="236" t="s">
        <v>1088</v>
      </c>
      <c r="L57" s="232">
        <f>Wizard!J57*4</f>
        <v>0.4</v>
      </c>
      <c r="M57" s="225">
        <f>1-(1-Wizard!J57)^4</f>
        <v>0.3439</v>
      </c>
      <c r="O57" s="31"/>
      <c r="P57" s="236" t="s">
        <v>1089</v>
      </c>
      <c r="Q57" s="232">
        <f>Wizard!N57*5</f>
        <v>0.1333333333</v>
      </c>
      <c r="R57" s="225">
        <f>1-(1-Wizard!N57)^5</f>
        <v>0.1264093369</v>
      </c>
      <c r="T57" s="31"/>
      <c r="U57" s="10"/>
      <c r="V57" s="10"/>
      <c r="W57" s="10"/>
      <c r="X57" s="12"/>
      <c r="Y57" s="13"/>
    </row>
    <row r="58" ht="15.0" customHeight="1">
      <c r="A58" s="226" t="s">
        <v>1090</v>
      </c>
      <c r="B58" s="234">
        <f>Wizard!B58*1</f>
        <v>0.04</v>
      </c>
      <c r="C58" s="228">
        <f>1-(1-Wizard!B58)^1</f>
        <v>0.04</v>
      </c>
      <c r="E58" s="31"/>
      <c r="F58" s="226" t="s">
        <v>1091</v>
      </c>
      <c r="G58" s="234">
        <f>Wizard!F58*1</f>
        <v>0</v>
      </c>
      <c r="H58" s="228">
        <f>1-(1-Wizard!F58)^1</f>
        <v>0</v>
      </c>
      <c r="J58" s="31"/>
      <c r="K58" s="226" t="s">
        <v>1092</v>
      </c>
      <c r="L58" s="234">
        <f>Wizard!J58*1</f>
        <v>0.5</v>
      </c>
      <c r="M58" s="228">
        <f>1-(1-Wizard!J58)^2</f>
        <v>0.75</v>
      </c>
      <c r="O58" s="31"/>
      <c r="P58" s="226" t="s">
        <v>1093</v>
      </c>
      <c r="Q58" s="234">
        <f>Wizard!N58*5</f>
        <v>0.1333333333</v>
      </c>
      <c r="R58" s="228">
        <f>1-(1-Wizard!N58)^5</f>
        <v>0.1264093369</v>
      </c>
      <c r="T58" s="31"/>
      <c r="U58" s="10"/>
      <c r="V58" s="10"/>
      <c r="W58" s="10"/>
      <c r="X58" s="12"/>
      <c r="Y58" s="13"/>
    </row>
    <row r="59" ht="15.0" customHeight="1">
      <c r="A59" s="236" t="s">
        <v>1094</v>
      </c>
      <c r="B59" s="232">
        <f>Wizard!B59*1</f>
        <v>0.024</v>
      </c>
      <c r="C59" s="225">
        <f>1-(1-Wizard!B59)^1</f>
        <v>0.024</v>
      </c>
      <c r="E59" s="31"/>
      <c r="F59" s="236" t="s">
        <v>1095</v>
      </c>
      <c r="G59" s="232">
        <f>Wizard!F59*1</f>
        <v>0</v>
      </c>
      <c r="H59" s="225">
        <f>1-(1-Wizard!F59)^1</f>
        <v>0</v>
      </c>
      <c r="J59" s="31"/>
      <c r="K59" s="236" t="s">
        <v>1096</v>
      </c>
      <c r="L59" s="232">
        <f>Wizard!J59*1</f>
        <v>0.25</v>
      </c>
      <c r="M59" s="225">
        <f>1-(1-Wizard!J59)^1</f>
        <v>0.25</v>
      </c>
      <c r="O59" s="31"/>
      <c r="P59" s="236" t="s">
        <v>1097</v>
      </c>
      <c r="Q59" s="232">
        <f>Wizard!N59*5</f>
        <v>0.1333333333</v>
      </c>
      <c r="R59" s="225">
        <f>1-(1-Wizard!N59)^5</f>
        <v>0.1264093369</v>
      </c>
      <c r="T59" s="31"/>
      <c r="U59" s="10"/>
      <c r="V59" s="10"/>
      <c r="W59" s="10"/>
      <c r="X59" s="12"/>
      <c r="Y59" s="13"/>
    </row>
    <row r="60" ht="15.0" customHeight="1">
      <c r="A60" s="226" t="s">
        <v>1098</v>
      </c>
      <c r="B60" s="234">
        <f>Wizard!B60*1</f>
        <v>0.01333333333</v>
      </c>
      <c r="C60" s="228">
        <f>1-(1-Wizard!B60)^1</f>
        <v>0.01333333333</v>
      </c>
      <c r="E60" s="31"/>
      <c r="F60" s="226" t="s">
        <v>1099</v>
      </c>
      <c r="G60" s="234">
        <f>Wizard!F60*1</f>
        <v>0</v>
      </c>
      <c r="H60" s="228">
        <f>1-(1-Wizard!F60)^1</f>
        <v>0</v>
      </c>
      <c r="J60" s="31"/>
      <c r="K60" s="245"/>
      <c r="L60" s="234">
        <f>Wizard!J60*1</f>
        <v>0</v>
      </c>
      <c r="M60" s="228">
        <f>1-(1-Wizard!J60)^1</f>
        <v>0</v>
      </c>
      <c r="O60" s="31"/>
      <c r="P60" s="241" t="s">
        <v>1100</v>
      </c>
      <c r="Q60" s="234">
        <f>Wizard!N60*5</f>
        <v>0.1333333333</v>
      </c>
      <c r="R60" s="228">
        <f>1-(1-Wizard!N60)^5</f>
        <v>0.1264093369</v>
      </c>
      <c r="T60" s="31"/>
      <c r="U60" s="10"/>
      <c r="V60" s="10"/>
      <c r="W60" s="10"/>
      <c r="X60" s="12"/>
      <c r="Y60" s="13"/>
    </row>
    <row r="61" ht="15.0" customHeight="1">
      <c r="A61" s="12"/>
      <c r="B61" s="12"/>
      <c r="C61" s="12"/>
      <c r="D61" s="48"/>
      <c r="E61" s="12"/>
      <c r="F61" s="12"/>
      <c r="G61" s="12"/>
      <c r="H61" s="12"/>
      <c r="I61" s="48"/>
      <c r="J61" s="12"/>
      <c r="K61" s="12"/>
      <c r="L61" s="12"/>
      <c r="M61" s="12"/>
      <c r="N61" s="48"/>
      <c r="O61" s="12"/>
      <c r="P61" s="48"/>
      <c r="Q61" s="12"/>
      <c r="R61" s="12"/>
      <c r="S61" s="48"/>
      <c r="T61" s="12"/>
      <c r="U61" s="12"/>
      <c r="V61" s="12"/>
      <c r="W61" s="12"/>
      <c r="X61" s="12"/>
      <c r="Y61" s="13"/>
    </row>
    <row r="62" ht="15.0"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52"/>
    </row>
    <row r="63" ht="17.25" customHeight="1">
      <c r="A63" s="129" t="s">
        <v>1105</v>
      </c>
    </row>
    <row r="64" ht="15.0" customHeight="1">
      <c r="A64" s="53" t="s">
        <v>1106</v>
      </c>
    </row>
    <row r="65" ht="15.0" customHeight="1">
      <c r="A65" s="54"/>
    </row>
  </sheetData>
  <mergeCells count="37">
    <mergeCell ref="A1:Y1"/>
    <mergeCell ref="A2:Y2"/>
    <mergeCell ref="A3:Y3"/>
    <mergeCell ref="B4:F4"/>
    <mergeCell ref="G4:J4"/>
    <mergeCell ref="B5:F5"/>
    <mergeCell ref="G5:K6"/>
    <mergeCell ref="S8:S15"/>
    <mergeCell ref="S17:S24"/>
    <mergeCell ref="S26:S33"/>
    <mergeCell ref="S35:S42"/>
    <mergeCell ref="X35:X42"/>
    <mergeCell ref="S44:S51"/>
    <mergeCell ref="X44:X51"/>
    <mergeCell ref="S53:S60"/>
    <mergeCell ref="I17:I24"/>
    <mergeCell ref="I26:I33"/>
    <mergeCell ref="I35:I42"/>
    <mergeCell ref="I44:I51"/>
    <mergeCell ref="I53:I60"/>
    <mergeCell ref="D26:D33"/>
    <mergeCell ref="D35:D42"/>
    <mergeCell ref="D44:D51"/>
    <mergeCell ref="D53:D60"/>
    <mergeCell ref="N35:N42"/>
    <mergeCell ref="N44:N51"/>
    <mergeCell ref="N53:N60"/>
    <mergeCell ref="A63:Y63"/>
    <mergeCell ref="A64:Y64"/>
    <mergeCell ref="A65:Y65"/>
    <mergeCell ref="B6:F6"/>
    <mergeCell ref="D8:D15"/>
    <mergeCell ref="I8:I15"/>
    <mergeCell ref="N8:N15"/>
    <mergeCell ref="D17:D24"/>
    <mergeCell ref="N17:N24"/>
    <mergeCell ref="N26:N33"/>
  </mergeCells>
  <hyperlinks>
    <hyperlink r:id="rId1" ref="G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88"/>
    <col customWidth="1" min="2" max="5" width="8.75"/>
    <col customWidth="1" min="6" max="6" width="19.38"/>
    <col customWidth="1" min="7" max="10" width="8.75"/>
    <col customWidth="1" min="11" max="11" width="23.13"/>
    <col customWidth="1" min="12" max="15" width="8.75"/>
    <col customWidth="1" min="16" max="16" width="23.63"/>
    <col customWidth="1" min="17" max="20" width="8.75"/>
    <col customWidth="1" min="21" max="21" width="21.38"/>
    <col customWidth="1" min="22" max="25" width="8.75"/>
  </cols>
  <sheetData>
    <row r="1" ht="131.25" customHeight="1">
      <c r="A1" s="66" t="str">
        <f>Barb!A1</f>
        <v>- OUTDATED -
</v>
      </c>
    </row>
    <row r="2" ht="24.0"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4.0" customHeight="1">
      <c r="A3" s="4"/>
      <c r="B3" s="4"/>
      <c r="C3" s="4"/>
      <c r="D3" s="4"/>
      <c r="E3" s="4"/>
      <c r="F3" s="4"/>
      <c r="G3" s="4"/>
      <c r="H3" s="4"/>
      <c r="I3" s="4"/>
      <c r="J3" s="4"/>
      <c r="K3" s="4"/>
      <c r="L3" s="4"/>
      <c r="M3" s="4"/>
      <c r="N3" s="4"/>
      <c r="O3" s="4"/>
      <c r="P3" s="4"/>
      <c r="Q3" s="4"/>
      <c r="R3" s="4"/>
      <c r="S3" s="4"/>
      <c r="T3" s="4"/>
      <c r="U3" s="4"/>
      <c r="V3" s="4"/>
      <c r="W3" s="4"/>
      <c r="X3" s="4"/>
      <c r="Y3" s="4"/>
    </row>
    <row r="4" ht="24.0" customHeight="1">
      <c r="A4" s="68" t="str">
        <f>Barb!A4</f>
        <v>100% tested (2.0.6)</v>
      </c>
      <c r="B4" s="69" t="s">
        <v>3</v>
      </c>
      <c r="C4" s="7"/>
      <c r="D4" s="7"/>
      <c r="E4" s="7"/>
      <c r="F4" s="8"/>
      <c r="G4" s="70" t="str">
        <f>Barb!G4</f>
        <v>Downloadable Sheet:</v>
      </c>
      <c r="H4" s="7"/>
      <c r="I4" s="8"/>
      <c r="J4" s="71"/>
      <c r="K4" s="12"/>
      <c r="L4" s="10"/>
      <c r="M4" s="10"/>
      <c r="N4" s="10"/>
      <c r="O4" s="10"/>
      <c r="P4" s="10"/>
      <c r="Q4" s="10"/>
      <c r="R4" s="10"/>
      <c r="S4" s="12"/>
      <c r="T4" s="12"/>
      <c r="U4" s="12"/>
      <c r="V4" s="12"/>
      <c r="W4" s="12"/>
      <c r="X4" s="12"/>
      <c r="Y4" s="12"/>
    </row>
    <row r="5" ht="15.75" customHeight="1">
      <c r="A5" s="72" t="str">
        <f>Barb!A5</f>
        <v>Updated: 7/10/14</v>
      </c>
      <c r="B5" s="73" t="s">
        <v>336</v>
      </c>
      <c r="C5" s="7"/>
      <c r="D5" s="7"/>
      <c r="E5" s="7"/>
      <c r="F5" s="8"/>
      <c r="G5" s="74" t="s">
        <v>8</v>
      </c>
      <c r="H5" s="17"/>
      <c r="I5" s="17"/>
      <c r="J5" s="17"/>
      <c r="K5" s="18"/>
      <c r="L5" s="10"/>
      <c r="M5" s="10"/>
      <c r="N5" s="10"/>
      <c r="O5" s="10"/>
      <c r="P5" s="10"/>
      <c r="Q5" s="10"/>
      <c r="R5" s="10"/>
      <c r="S5" s="12"/>
      <c r="T5" s="12"/>
      <c r="U5" s="12"/>
      <c r="V5" s="12"/>
      <c r="W5" s="12"/>
      <c r="X5" s="12"/>
      <c r="Y5" s="12"/>
    </row>
    <row r="6" ht="27.0" customHeight="1">
      <c r="A6" s="75" t="s">
        <v>337</v>
      </c>
      <c r="B6" s="76" t="s">
        <v>11</v>
      </c>
      <c r="C6" s="7"/>
      <c r="D6" s="7"/>
      <c r="E6" s="7"/>
      <c r="F6" s="8"/>
      <c r="G6" s="23"/>
      <c r="H6" s="4"/>
      <c r="I6" s="4"/>
      <c r="J6" s="4"/>
      <c r="K6" s="24"/>
      <c r="L6" s="10"/>
      <c r="M6" s="10"/>
      <c r="N6" s="10"/>
      <c r="O6" s="10"/>
      <c r="P6" s="10"/>
      <c r="Q6" s="10"/>
      <c r="R6" s="10"/>
      <c r="S6" s="12"/>
      <c r="T6" s="12"/>
      <c r="U6" s="12"/>
      <c r="V6" s="12"/>
      <c r="W6" s="12"/>
      <c r="X6" s="12"/>
      <c r="Y6" s="12"/>
    </row>
    <row r="7" ht="15.0" customHeight="1">
      <c r="A7" s="10"/>
      <c r="B7" s="26"/>
      <c r="C7" s="26"/>
      <c r="D7" s="26"/>
      <c r="E7" s="10"/>
      <c r="F7" s="10"/>
      <c r="G7" s="26"/>
      <c r="H7" s="26"/>
      <c r="I7" s="26"/>
      <c r="J7" s="10"/>
      <c r="K7" s="10"/>
      <c r="L7" s="26"/>
      <c r="M7" s="26"/>
      <c r="N7" s="26"/>
      <c r="O7" s="10"/>
      <c r="P7" s="10"/>
      <c r="Q7" s="26"/>
      <c r="R7" s="26"/>
      <c r="S7" s="27"/>
      <c r="T7" s="12"/>
      <c r="U7" s="12"/>
      <c r="V7" s="12"/>
      <c r="W7" s="12"/>
      <c r="X7" s="12"/>
      <c r="Y7" s="12"/>
    </row>
    <row r="8" ht="15.0" customHeight="1">
      <c r="A8" s="28"/>
      <c r="B8" s="29" t="s">
        <v>338</v>
      </c>
      <c r="C8" s="29" t="s">
        <v>339</v>
      </c>
      <c r="D8" s="30" t="s">
        <v>14</v>
      </c>
      <c r="E8" s="31"/>
      <c r="F8" s="28"/>
      <c r="G8" s="29" t="s">
        <v>338</v>
      </c>
      <c r="H8" s="29" t="s">
        <v>339</v>
      </c>
      <c r="I8" s="30" t="s">
        <v>15</v>
      </c>
      <c r="J8" s="31"/>
      <c r="K8" s="28"/>
      <c r="L8" s="29" t="s">
        <v>338</v>
      </c>
      <c r="M8" s="29" t="s">
        <v>339</v>
      </c>
      <c r="N8" s="30" t="s">
        <v>340</v>
      </c>
      <c r="O8" s="31"/>
      <c r="P8" s="28"/>
      <c r="Q8" s="29" t="s">
        <v>338</v>
      </c>
      <c r="R8" s="29" t="s">
        <v>339</v>
      </c>
      <c r="S8" s="30" t="s">
        <v>17</v>
      </c>
      <c r="T8" s="21"/>
      <c r="U8" s="12"/>
      <c r="V8" s="12"/>
      <c r="W8" s="12"/>
      <c r="X8" s="12"/>
      <c r="Y8" s="12"/>
    </row>
    <row r="9" ht="17.25" customHeight="1">
      <c r="A9" s="32" t="s">
        <v>18</v>
      </c>
      <c r="B9" s="45">
        <f t="shared" ref="B9:C9" si="1">AVERAGE(B10:B15)</f>
        <v>0.8888888889</v>
      </c>
      <c r="C9" s="33">
        <f t="shared" si="1"/>
        <v>0.8395061728</v>
      </c>
      <c r="E9" s="31"/>
      <c r="F9" s="32" t="s">
        <v>18</v>
      </c>
      <c r="G9" s="45">
        <f t="shared" ref="G9:H9" si="2">AVERAGE(G10:G15)</f>
        <v>0.7555555556</v>
      </c>
      <c r="H9" s="33">
        <f t="shared" si="2"/>
        <v>0.7555555556</v>
      </c>
      <c r="J9" s="31"/>
      <c r="K9" s="32" t="s">
        <v>18</v>
      </c>
      <c r="L9" s="45">
        <f t="shared" ref="L9:M9" si="3">AVERAGE(L10:L15)</f>
        <v>0.75</v>
      </c>
      <c r="M9" s="33">
        <f t="shared" si="3"/>
        <v>0.75</v>
      </c>
      <c r="O9" s="31"/>
      <c r="P9" s="32" t="s">
        <v>18</v>
      </c>
      <c r="Q9" s="45">
        <f t="shared" ref="Q9:R9" si="4">AVERAGE(Q10:Q15)</f>
        <v>1.096296296</v>
      </c>
      <c r="R9" s="33">
        <f t="shared" si="4"/>
        <v>0.8989189999</v>
      </c>
      <c r="T9" s="21"/>
      <c r="U9" s="12"/>
      <c r="V9" s="12"/>
      <c r="W9" s="12"/>
      <c r="X9" s="12"/>
      <c r="Y9" s="12"/>
    </row>
    <row r="10" ht="15.0" customHeight="1">
      <c r="A10" s="34" t="s">
        <v>19</v>
      </c>
      <c r="B10" s="46">
        <f>Barb!B10*1</f>
        <v>1</v>
      </c>
      <c r="C10" s="36">
        <f>1-(1-Barb!B10)^1</f>
        <v>1</v>
      </c>
      <c r="E10" s="31"/>
      <c r="F10" s="34" t="s">
        <v>19</v>
      </c>
      <c r="G10" s="46">
        <f>Barb!F10*1</f>
        <v>0.8</v>
      </c>
      <c r="H10" s="36">
        <f>1-(1-Barb!F10)^1</f>
        <v>0.8</v>
      </c>
      <c r="J10" s="31"/>
      <c r="K10" s="34" t="s">
        <v>19</v>
      </c>
      <c r="L10" s="46">
        <f>Barb!J10*1</f>
        <v>0.75</v>
      </c>
      <c r="M10" s="36">
        <f>1-(1-Barb!J10)^1</f>
        <v>0.75</v>
      </c>
      <c r="O10" s="31"/>
      <c r="P10" s="34" t="s">
        <v>19</v>
      </c>
      <c r="Q10" s="46">
        <f>Barb!N10*1*(74/60)</f>
        <v>1.233333333</v>
      </c>
      <c r="R10" s="36">
        <f>1-(1-Barb!N10)^(74/60)</f>
        <v>1</v>
      </c>
      <c r="T10" s="21"/>
      <c r="U10" s="12"/>
      <c r="V10" s="12"/>
      <c r="W10" s="12"/>
      <c r="X10" s="12"/>
      <c r="Y10" s="12"/>
    </row>
    <row r="11" ht="15.0" customHeight="1">
      <c r="A11" s="77" t="str">
        <f>Barb!A11</f>
        <v>Clobber</v>
      </c>
      <c r="B11" s="47">
        <f>Barb!B11*1</f>
        <v>1</v>
      </c>
      <c r="C11" s="39">
        <f>1-(1-Barb!B11)^1</f>
        <v>1</v>
      </c>
      <c r="E11" s="31"/>
      <c r="F11" s="37" t="s">
        <v>21</v>
      </c>
      <c r="G11" s="47">
        <f>Barb!F11*1</f>
        <v>0.6666666667</v>
      </c>
      <c r="H11" s="39">
        <f>1-(1-Barb!F11)^1</f>
        <v>0.6666666667</v>
      </c>
      <c r="J11" s="31"/>
      <c r="K11" s="37" t="s">
        <v>22</v>
      </c>
      <c r="L11" s="47">
        <f>Barb!J11*1</f>
        <v>0.75</v>
      </c>
      <c r="M11" s="39">
        <f>1-(1-Barb!J11)^1</f>
        <v>0.75</v>
      </c>
      <c r="O11" s="31"/>
      <c r="P11" s="37" t="s">
        <v>23</v>
      </c>
      <c r="Q11" s="47">
        <f>Barb!N11*1*(74/60)</f>
        <v>1.233333333</v>
      </c>
      <c r="R11" s="39">
        <f>1-(1-Barb!N11)^(74/60)</f>
        <v>1</v>
      </c>
      <c r="T11" s="21"/>
      <c r="U11" s="12"/>
      <c r="V11" s="12"/>
      <c r="W11" s="12"/>
      <c r="X11" s="12"/>
      <c r="Y11" s="12"/>
    </row>
    <row r="12" ht="15.0" customHeight="1">
      <c r="A12" s="40" t="s">
        <v>24</v>
      </c>
      <c r="B12" s="46">
        <f>Barb!B12*3</f>
        <v>1</v>
      </c>
      <c r="C12" s="36">
        <f>1-(1-Barb!B12)^3</f>
        <v>0.7037037037</v>
      </c>
      <c r="E12" s="31"/>
      <c r="F12" s="40" t="s">
        <v>25</v>
      </c>
      <c r="G12" s="46">
        <f>Barb!F12*1</f>
        <v>0.8</v>
      </c>
      <c r="H12" s="36">
        <f>1-(1-Barb!F12)^1</f>
        <v>0.8</v>
      </c>
      <c r="J12" s="31"/>
      <c r="K12" s="40" t="s">
        <v>26</v>
      </c>
      <c r="L12" s="46">
        <f>Barb!J12*1</f>
        <v>0.75</v>
      </c>
      <c r="M12" s="36">
        <f>1-(1-Barb!J12)^1</f>
        <v>0.75</v>
      </c>
      <c r="O12" s="31"/>
      <c r="P12" s="40" t="s">
        <v>27</v>
      </c>
      <c r="Q12" s="46">
        <f>Barb!N12*1*(74/60)</f>
        <v>0.4111111111</v>
      </c>
      <c r="R12" s="36">
        <f>1-(1-Barb!N12)^(74/60)</f>
        <v>0.3935139995</v>
      </c>
      <c r="T12" s="21"/>
      <c r="U12" s="12"/>
      <c r="V12" s="12"/>
      <c r="W12" s="12"/>
      <c r="X12" s="12"/>
      <c r="Y12" s="12"/>
    </row>
    <row r="13" ht="15.0" customHeight="1">
      <c r="A13" s="37" t="s">
        <v>28</v>
      </c>
      <c r="B13" s="47">
        <f>Barb!B13*1</f>
        <v>1</v>
      </c>
      <c r="C13" s="39">
        <f>1-(1-Barb!B13)^1</f>
        <v>1</v>
      </c>
      <c r="E13" s="31"/>
      <c r="F13" s="37" t="s">
        <v>29</v>
      </c>
      <c r="G13" s="47">
        <f>Barb!F13*1</f>
        <v>0.6666666667</v>
      </c>
      <c r="H13" s="39">
        <f>1-(1-Barb!F13)^1</f>
        <v>0.6666666667</v>
      </c>
      <c r="J13" s="31"/>
      <c r="K13" s="37" t="s">
        <v>30</v>
      </c>
      <c r="L13" s="47">
        <f>Barb!J13*1</f>
        <v>0.75</v>
      </c>
      <c r="M13" s="39">
        <f>1-(1-Barb!J13)^1</f>
        <v>0.75</v>
      </c>
      <c r="O13" s="31"/>
      <c r="P13" s="37" t="s">
        <v>31</v>
      </c>
      <c r="Q13" s="47">
        <f>Barb!N13*1*(74/60)</f>
        <v>1.233333333</v>
      </c>
      <c r="R13" s="39">
        <f>1-(1-Barb!N13)^(74/60)</f>
        <v>1</v>
      </c>
      <c r="T13" s="21"/>
      <c r="U13" s="12"/>
      <c r="V13" s="12"/>
      <c r="W13" s="12"/>
      <c r="X13" s="12"/>
      <c r="Y13" s="12"/>
    </row>
    <row r="14" ht="15.0" customHeight="1">
      <c r="A14" s="40" t="s">
        <v>32</v>
      </c>
      <c r="B14" s="46">
        <f>Barb!B14*1</f>
        <v>1</v>
      </c>
      <c r="C14" s="36">
        <f>1-(1-Barb!B14)^1</f>
        <v>1</v>
      </c>
      <c r="E14" s="31"/>
      <c r="F14" s="40" t="s">
        <v>33</v>
      </c>
      <c r="G14" s="46">
        <f>Barb!F14*1</f>
        <v>0.8</v>
      </c>
      <c r="H14" s="36">
        <f>1-(1-Barb!F14)^1</f>
        <v>0.8</v>
      </c>
      <c r="J14" s="31"/>
      <c r="K14" s="40" t="s">
        <v>34</v>
      </c>
      <c r="L14" s="46">
        <f>Barb!J14*1</f>
        <v>0.75</v>
      </c>
      <c r="M14" s="36">
        <f>1-(1-Barb!J14)^1</f>
        <v>0.75</v>
      </c>
      <c r="O14" s="31"/>
      <c r="P14" s="40" t="s">
        <v>35</v>
      </c>
      <c r="Q14" s="46">
        <f>Barb!N14*1*(74/60)</f>
        <v>1.233333333</v>
      </c>
      <c r="R14" s="36">
        <f>1-(1-Barb!N14)^(74/60)</f>
        <v>1</v>
      </c>
      <c r="T14" s="21"/>
      <c r="U14" s="12"/>
      <c r="V14" s="12"/>
      <c r="W14" s="12"/>
      <c r="X14" s="12"/>
      <c r="Y14" s="12"/>
    </row>
    <row r="15" ht="15.0" customHeight="1">
      <c r="A15" s="37" t="s">
        <v>36</v>
      </c>
      <c r="B15" s="47">
        <f>Barb!B15*1</f>
        <v>0.3333333333</v>
      </c>
      <c r="C15" s="39">
        <f>1-(1-Barb!B15)^1</f>
        <v>0.3333333333</v>
      </c>
      <c r="E15" s="31"/>
      <c r="F15" s="37" t="s">
        <v>37</v>
      </c>
      <c r="G15" s="47">
        <f>Barb!F15*1</f>
        <v>0.8</v>
      </c>
      <c r="H15" s="39">
        <f>1-(1-Barb!F15)^1</f>
        <v>0.8</v>
      </c>
      <c r="J15" s="31"/>
      <c r="K15" s="37" t="s">
        <v>38</v>
      </c>
      <c r="L15" s="47">
        <f>Barb!J15*1</f>
        <v>0.75</v>
      </c>
      <c r="M15" s="39">
        <f>1-(1-Barb!J15)^1</f>
        <v>0.75</v>
      </c>
      <c r="O15" s="31"/>
      <c r="P15" s="37" t="s">
        <v>39</v>
      </c>
      <c r="Q15" s="47">
        <f>Barb!N15*1*(74/60)</f>
        <v>1.233333333</v>
      </c>
      <c r="R15" s="39">
        <f>1-(1-Barb!N15)^(74/60)</f>
        <v>1</v>
      </c>
      <c r="T15" s="21"/>
      <c r="U15" s="12"/>
      <c r="V15" s="12"/>
      <c r="W15" s="12"/>
      <c r="X15" s="12"/>
      <c r="Y15" s="12"/>
    </row>
    <row r="16" ht="15.0" customHeight="1">
      <c r="A16" s="10"/>
      <c r="B16" s="26"/>
      <c r="C16" s="26"/>
      <c r="D16" s="41"/>
      <c r="E16" s="10"/>
      <c r="F16" s="10"/>
      <c r="G16" s="26"/>
      <c r="H16" s="26"/>
      <c r="I16" s="41"/>
      <c r="J16" s="10"/>
      <c r="K16" s="10"/>
      <c r="L16" s="26"/>
      <c r="M16" s="26"/>
      <c r="N16" s="41"/>
      <c r="O16" s="10"/>
      <c r="P16" s="10"/>
      <c r="Q16" s="26"/>
      <c r="R16" s="26"/>
      <c r="S16" s="42"/>
      <c r="T16" s="12"/>
      <c r="U16" s="12"/>
      <c r="V16" s="27"/>
      <c r="W16" s="27"/>
      <c r="X16" s="27"/>
      <c r="Y16" s="12"/>
    </row>
    <row r="17" ht="15.75" customHeight="1">
      <c r="A17" s="28"/>
      <c r="B17" s="29" t="s">
        <v>338</v>
      </c>
      <c r="C17" s="29" t="s">
        <v>339</v>
      </c>
      <c r="D17" s="30" t="s">
        <v>40</v>
      </c>
      <c r="E17" s="31"/>
      <c r="F17" s="28"/>
      <c r="G17" s="29" t="s">
        <v>338</v>
      </c>
      <c r="H17" s="29" t="s">
        <v>339</v>
      </c>
      <c r="I17" s="30" t="s">
        <v>341</v>
      </c>
      <c r="J17" s="31"/>
      <c r="K17" s="28"/>
      <c r="L17" s="29" t="s">
        <v>338</v>
      </c>
      <c r="M17" s="29" t="s">
        <v>339</v>
      </c>
      <c r="N17" s="30" t="s">
        <v>42</v>
      </c>
      <c r="O17" s="31"/>
      <c r="P17" s="28"/>
      <c r="Q17" s="29" t="s">
        <v>338</v>
      </c>
      <c r="R17" s="29" t="s">
        <v>339</v>
      </c>
      <c r="S17" s="43" t="s">
        <v>43</v>
      </c>
      <c r="T17" s="21"/>
      <c r="U17" s="28"/>
      <c r="V17" s="29" t="s">
        <v>338</v>
      </c>
      <c r="W17" s="29" t="s">
        <v>339</v>
      </c>
      <c r="X17" s="30" t="s">
        <v>44</v>
      </c>
      <c r="Y17" s="21"/>
    </row>
    <row r="18" ht="17.25" customHeight="1">
      <c r="A18" s="32" t="s">
        <v>18</v>
      </c>
      <c r="B18" s="45">
        <f t="shared" ref="B18:C18" si="5">AVERAGE(B19:B24)</f>
        <v>0.6222222222</v>
      </c>
      <c r="C18" s="33">
        <f t="shared" si="5"/>
        <v>0.6222222222</v>
      </c>
      <c r="E18" s="31"/>
      <c r="F18" s="32" t="s">
        <v>18</v>
      </c>
      <c r="G18" s="45">
        <f t="shared" ref="G18:H18" si="6">AVERAGE(G19:G24)</f>
        <v>0.3194444444</v>
      </c>
      <c r="H18" s="33">
        <f t="shared" si="6"/>
        <v>0.3194444444</v>
      </c>
      <c r="J18" s="31"/>
      <c r="K18" s="32" t="s">
        <v>18</v>
      </c>
      <c r="L18" s="45">
        <f t="shared" ref="L18:M18" si="7">AVERAGE(L19:L24)</f>
        <v>0.2962962963</v>
      </c>
      <c r="M18" s="33">
        <f t="shared" si="7"/>
        <v>0.2962962963</v>
      </c>
      <c r="O18" s="31"/>
      <c r="P18" s="32" t="s">
        <v>18</v>
      </c>
      <c r="Q18" s="45">
        <f t="shared" ref="Q18:R18" si="8">AVERAGE(Q19:Q24)</f>
        <v>0.2608695652</v>
      </c>
      <c r="R18" s="33">
        <f t="shared" si="8"/>
        <v>0.2438563327</v>
      </c>
      <c r="T18" s="21"/>
      <c r="U18" s="32" t="s">
        <v>18</v>
      </c>
      <c r="V18" s="45">
        <f t="shared" ref="V18:W18" si="9">AVERAGE(V19:V24)</f>
        <v>0.4443921569</v>
      </c>
      <c r="W18" s="33">
        <f t="shared" si="9"/>
        <v>0.4443921569</v>
      </c>
      <c r="Y18" s="21"/>
    </row>
    <row r="19" ht="15.0" customHeight="1">
      <c r="A19" s="34" t="s">
        <v>19</v>
      </c>
      <c r="B19" s="46">
        <f>Barb!B19*1</f>
        <v>0.6666666667</v>
      </c>
      <c r="C19" s="36">
        <f>1-(1-Barb!B19)^1</f>
        <v>0.6666666667</v>
      </c>
      <c r="E19" s="31"/>
      <c r="F19" s="34" t="s">
        <v>19</v>
      </c>
      <c r="G19" s="46">
        <f>Barb!F19*1</f>
        <v>0.3333333333</v>
      </c>
      <c r="H19" s="36">
        <f>1-(1-Barb!F19)^1</f>
        <v>0.3333333333</v>
      </c>
      <c r="J19" s="31"/>
      <c r="K19" s="34" t="s">
        <v>19</v>
      </c>
      <c r="L19" s="46">
        <f>Barb!J19*1</f>
        <v>0.3333333333</v>
      </c>
      <c r="M19" s="36">
        <f>1-(1-Barb!J19)^1</f>
        <v>0.3333333333</v>
      </c>
      <c r="O19" s="31"/>
      <c r="P19" s="34" t="s">
        <v>19</v>
      </c>
      <c r="Q19" s="46">
        <f>Barb!N19*2</f>
        <v>0.2608695652</v>
      </c>
      <c r="R19" s="36">
        <f>1-(1-Barb!N19)^2</f>
        <v>0.2438563327</v>
      </c>
      <c r="T19" s="21"/>
      <c r="U19" s="34" t="s">
        <v>19</v>
      </c>
      <c r="V19" s="46">
        <f>Barb!R19*1</f>
        <v>0.4705882353</v>
      </c>
      <c r="W19" s="36">
        <f>1-(1-Barb!R19)^1</f>
        <v>0.4705882353</v>
      </c>
      <c r="Y19" s="21"/>
    </row>
    <row r="20" ht="15.0" customHeight="1">
      <c r="A20" s="37" t="s">
        <v>45</v>
      </c>
      <c r="B20" s="47">
        <f>Barb!B20*1</f>
        <v>0.4</v>
      </c>
      <c r="C20" s="39">
        <f>1-(1-Barb!B20)^1</f>
        <v>0.4</v>
      </c>
      <c r="E20" s="31"/>
      <c r="F20" s="37" t="s">
        <v>46</v>
      </c>
      <c r="G20" s="47">
        <f>Barb!F20*1</f>
        <v>0.25</v>
      </c>
      <c r="H20" s="39">
        <f>1-(1-Barb!F20)^1</f>
        <v>0.25</v>
      </c>
      <c r="J20" s="31"/>
      <c r="K20" s="37" t="s">
        <v>47</v>
      </c>
      <c r="L20" s="47">
        <f>Barb!J20*1</f>
        <v>0.3333333333</v>
      </c>
      <c r="M20" s="39">
        <f>1-(1-Barb!J20)^1</f>
        <v>0.3333333333</v>
      </c>
      <c r="O20" s="31"/>
      <c r="P20" s="37" t="s">
        <v>342</v>
      </c>
      <c r="Q20" s="47">
        <f>Barb!N20*2</f>
        <v>0.2608695652</v>
      </c>
      <c r="R20" s="39">
        <f>1-(1-Barb!N20)^2</f>
        <v>0.2438563327</v>
      </c>
      <c r="T20" s="21"/>
      <c r="U20" s="37" t="s">
        <v>49</v>
      </c>
      <c r="V20" s="47">
        <f>Barb!R20*1</f>
        <v>0.4705882353</v>
      </c>
      <c r="W20" s="39">
        <f>1-(1-Barb!R20)^1</f>
        <v>0.4705882353</v>
      </c>
      <c r="Y20" s="21"/>
    </row>
    <row r="21" ht="15.0" customHeight="1">
      <c r="A21" s="40" t="s">
        <v>50</v>
      </c>
      <c r="B21" s="46">
        <f>Barb!B21*1</f>
        <v>0.6666666667</v>
      </c>
      <c r="C21" s="36">
        <f>1-(1-Barb!B21)^1</f>
        <v>0.6666666667</v>
      </c>
      <c r="E21" s="31"/>
      <c r="F21" s="40" t="s">
        <v>51</v>
      </c>
      <c r="G21" s="46">
        <f>Barb!F21*1</f>
        <v>0.3333333333</v>
      </c>
      <c r="H21" s="36">
        <f>1-(1-Barb!F21)^1</f>
        <v>0.3333333333</v>
      </c>
      <c r="J21" s="31"/>
      <c r="K21" s="40" t="s">
        <v>52</v>
      </c>
      <c r="L21" s="46">
        <f>Barb!J21*1</f>
        <v>0.3333333333</v>
      </c>
      <c r="M21" s="36">
        <f>1-(1-Barb!J21)^1</f>
        <v>0.3333333333</v>
      </c>
      <c r="O21" s="31"/>
      <c r="P21" s="40" t="s">
        <v>53</v>
      </c>
      <c r="Q21" s="46">
        <f>Barb!N21*2</f>
        <v>0.2608695652</v>
      </c>
      <c r="R21" s="36">
        <f>1-(1-Barb!N21)^2</f>
        <v>0.2438563327</v>
      </c>
      <c r="T21" s="21"/>
      <c r="U21" s="40" t="s">
        <v>54</v>
      </c>
      <c r="V21" s="46">
        <f>Barb!R21*1</f>
        <v>0.392</v>
      </c>
      <c r="W21" s="36">
        <f>1-(1-Barb!R21)^1</f>
        <v>0.392</v>
      </c>
      <c r="Y21" s="21"/>
    </row>
    <row r="22" ht="15.0" customHeight="1">
      <c r="A22" s="37" t="s">
        <v>55</v>
      </c>
      <c r="B22" s="47">
        <f>Barb!B22*1</f>
        <v>0.6666666667</v>
      </c>
      <c r="C22" s="39">
        <f>1-(1-Barb!B22)^1</f>
        <v>0.6666666667</v>
      </c>
      <c r="E22" s="31"/>
      <c r="F22" s="37" t="s">
        <v>56</v>
      </c>
      <c r="G22" s="47">
        <f>Barb!F22*1</f>
        <v>0.3333333333</v>
      </c>
      <c r="H22" s="39">
        <f>1-(1-Barb!F22)^1</f>
        <v>0.3333333333</v>
      </c>
      <c r="J22" s="31"/>
      <c r="K22" s="37" t="s">
        <v>57</v>
      </c>
      <c r="L22" s="47">
        <f>Barb!J22*1</f>
        <v>0.1111111111</v>
      </c>
      <c r="M22" s="39">
        <f>1-(1-Barb!J22)^1</f>
        <v>0.1111111111</v>
      </c>
      <c r="O22" s="31"/>
      <c r="P22" s="37" t="s">
        <v>58</v>
      </c>
      <c r="Q22" s="47">
        <f>Barb!N22*2</f>
        <v>0.2608695652</v>
      </c>
      <c r="R22" s="39">
        <f>1-(1-Barb!N22)^2</f>
        <v>0.2438563327</v>
      </c>
      <c r="T22" s="21"/>
      <c r="U22" s="37" t="s">
        <v>59</v>
      </c>
      <c r="V22" s="47">
        <f>Barb!R22*1</f>
        <v>0.4705882353</v>
      </c>
      <c r="W22" s="39">
        <f>1-(1-Barb!R22)^1</f>
        <v>0.4705882353</v>
      </c>
      <c r="Y22" s="21"/>
    </row>
    <row r="23" ht="15.0" customHeight="1">
      <c r="A23" s="40" t="s">
        <v>60</v>
      </c>
      <c r="B23" s="46">
        <f>Barb!B23*1</f>
        <v>0.6666666667</v>
      </c>
      <c r="C23" s="36">
        <f>1-(1-Barb!B23)^1</f>
        <v>0.6666666667</v>
      </c>
      <c r="E23" s="31"/>
      <c r="F23" s="40" t="s">
        <v>61</v>
      </c>
      <c r="G23" s="46">
        <f>Barb!F23*1</f>
        <v>0.3333333333</v>
      </c>
      <c r="H23" s="36">
        <f>1-(1-Barb!F23)^1</f>
        <v>0.3333333333</v>
      </c>
      <c r="J23" s="31"/>
      <c r="K23" s="40" t="s">
        <v>62</v>
      </c>
      <c r="L23" s="46">
        <f>Barb!J23*1</f>
        <v>0.3333333333</v>
      </c>
      <c r="M23" s="36">
        <f>1-(1-Barb!J23)^1</f>
        <v>0.3333333333</v>
      </c>
      <c r="O23" s="31"/>
      <c r="P23" s="40" t="s">
        <v>63</v>
      </c>
      <c r="Q23" s="46">
        <f>Barb!N23*2</f>
        <v>0.2608695652</v>
      </c>
      <c r="R23" s="36">
        <f>1-(1-Barb!N23)^2</f>
        <v>0.2438563327</v>
      </c>
      <c r="T23" s="21"/>
      <c r="U23" s="40" t="s">
        <v>64</v>
      </c>
      <c r="V23" s="46">
        <f>Barb!R23*1</f>
        <v>0.4705882353</v>
      </c>
      <c r="W23" s="36">
        <f>1-(1-Barb!R23)^1</f>
        <v>0.4705882353</v>
      </c>
      <c r="Y23" s="21"/>
    </row>
    <row r="24" ht="15.0" customHeight="1">
      <c r="A24" s="37" t="s">
        <v>65</v>
      </c>
      <c r="B24" s="47">
        <f>Barb!B24*1</f>
        <v>0.6666666667</v>
      </c>
      <c r="C24" s="39">
        <f>1-(1-Barb!B24)^1</f>
        <v>0.6666666667</v>
      </c>
      <c r="E24" s="31"/>
      <c r="F24" s="37" t="s">
        <v>66</v>
      </c>
      <c r="G24" s="47">
        <f>Barb!F24*1</f>
        <v>0.3333333333</v>
      </c>
      <c r="H24" s="39">
        <f>1-(1-Barb!F24)^1</f>
        <v>0.3333333333</v>
      </c>
      <c r="J24" s="31"/>
      <c r="K24" s="37" t="s">
        <v>67</v>
      </c>
      <c r="L24" s="47">
        <f>Barb!J24*1</f>
        <v>0.3333333333</v>
      </c>
      <c r="M24" s="39">
        <f>1-(1-Barb!J24)^1</f>
        <v>0.3333333333</v>
      </c>
      <c r="O24" s="31"/>
      <c r="P24" s="37" t="s">
        <v>68</v>
      </c>
      <c r="Q24" s="47">
        <f>Barb!N24*2</f>
        <v>0.2608695652</v>
      </c>
      <c r="R24" s="39">
        <f>1-(1-Barb!N24)^2</f>
        <v>0.2438563327</v>
      </c>
      <c r="T24" s="21"/>
      <c r="U24" s="37" t="s">
        <v>69</v>
      </c>
      <c r="V24" s="47">
        <f>Barb!R24*1</f>
        <v>0.392</v>
      </c>
      <c r="W24" s="39">
        <f>1-(1-Barb!R24)^1</f>
        <v>0.392</v>
      </c>
      <c r="Y24" s="21"/>
    </row>
    <row r="25" ht="15.0" customHeight="1">
      <c r="A25" s="10"/>
      <c r="B25" s="26"/>
      <c r="C25" s="26"/>
      <c r="D25" s="41"/>
      <c r="E25" s="10"/>
      <c r="F25" s="10"/>
      <c r="G25" s="26"/>
      <c r="H25" s="26"/>
      <c r="I25" s="41"/>
      <c r="J25" s="10"/>
      <c r="K25" s="10"/>
      <c r="L25" s="26"/>
      <c r="M25" s="26"/>
      <c r="N25" s="41"/>
      <c r="O25" s="10"/>
      <c r="P25" s="10"/>
      <c r="Q25" s="26"/>
      <c r="R25" s="78"/>
      <c r="S25" s="79"/>
      <c r="T25" s="12"/>
      <c r="U25" s="12"/>
      <c r="V25" s="12"/>
      <c r="W25" s="12"/>
      <c r="X25" s="48"/>
      <c r="Y25" s="12"/>
    </row>
    <row r="26" ht="15.75" customHeight="1">
      <c r="A26" s="28"/>
      <c r="B26" s="29" t="s">
        <v>338</v>
      </c>
      <c r="C26" s="29" t="s">
        <v>339</v>
      </c>
      <c r="D26" s="30" t="s">
        <v>70</v>
      </c>
      <c r="E26" s="31"/>
      <c r="F26" s="28"/>
      <c r="G26" s="29" t="s">
        <v>338</v>
      </c>
      <c r="H26" s="29" t="s">
        <v>339</v>
      </c>
      <c r="I26" s="30" t="s">
        <v>71</v>
      </c>
      <c r="J26" s="31"/>
      <c r="K26" s="28"/>
      <c r="L26" s="29" t="s">
        <v>338</v>
      </c>
      <c r="M26" s="29" t="s">
        <v>339</v>
      </c>
      <c r="N26" s="30" t="s">
        <v>72</v>
      </c>
      <c r="O26" s="31"/>
      <c r="P26" s="28"/>
      <c r="Q26" s="29" t="s">
        <v>338</v>
      </c>
      <c r="R26" s="29" t="s">
        <v>339</v>
      </c>
      <c r="S26" s="43" t="s">
        <v>73</v>
      </c>
      <c r="T26" s="21"/>
      <c r="U26" s="12"/>
      <c r="V26" s="12"/>
      <c r="W26" s="12"/>
      <c r="X26" s="12"/>
      <c r="Y26" s="12"/>
    </row>
    <row r="27" ht="17.25" customHeight="1">
      <c r="A27" s="32" t="s">
        <v>18</v>
      </c>
      <c r="B27" s="45">
        <f t="shared" ref="B27:C27" si="10">AVERAGE(B28:B33)</f>
        <v>0.2416666667</v>
      </c>
      <c r="C27" s="33">
        <f t="shared" si="10"/>
        <v>0.2416666667</v>
      </c>
      <c r="E27" s="31"/>
      <c r="F27" s="32" t="s">
        <v>18</v>
      </c>
      <c r="G27" s="45">
        <f t="shared" ref="G27:H27" si="11">AVERAGE(G28:G33)</f>
        <v>0.2888888889</v>
      </c>
      <c r="H27" s="33">
        <f t="shared" si="11"/>
        <v>0.2888888889</v>
      </c>
      <c r="J27" s="31"/>
      <c r="K27" s="32" t="s">
        <v>18</v>
      </c>
      <c r="L27" s="45">
        <f t="shared" ref="L27:M27" si="12">AVERAGE(L28:L33)</f>
        <v>0.002850627138</v>
      </c>
      <c r="M27" s="33">
        <f t="shared" si="12"/>
        <v>0.002845209755</v>
      </c>
      <c r="O27" s="31"/>
      <c r="P27" s="32" t="s">
        <v>18</v>
      </c>
      <c r="Q27" s="45">
        <f t="shared" ref="Q27:R27" si="13">AVERAGE(Q28:Q33)</f>
        <v>0</v>
      </c>
      <c r="R27" s="33">
        <f t="shared" si="13"/>
        <v>0</v>
      </c>
      <c r="T27" s="21"/>
      <c r="U27" s="12"/>
      <c r="V27" s="12"/>
      <c r="W27" s="12"/>
      <c r="X27" s="12"/>
      <c r="Y27" s="12"/>
    </row>
    <row r="28" ht="15.0" customHeight="1">
      <c r="A28" s="34" t="s">
        <v>19</v>
      </c>
      <c r="B28" s="46">
        <f>Barb!B28*1</f>
        <v>0.25</v>
      </c>
      <c r="C28" s="36">
        <f>1-(1-Barb!B28)^1</f>
        <v>0.25</v>
      </c>
      <c r="E28" s="31"/>
      <c r="F28" s="34" t="s">
        <v>19</v>
      </c>
      <c r="G28" s="46">
        <f>Barb!F28*1</f>
        <v>0.3333333333</v>
      </c>
      <c r="H28" s="36">
        <f>1-(1-Barb!F28)^1</f>
        <v>0.3333333333</v>
      </c>
      <c r="J28" s="31"/>
      <c r="K28" s="34" t="s">
        <v>19</v>
      </c>
      <c r="L28" s="46">
        <f>Barb!J28*1</f>
        <v>0</v>
      </c>
      <c r="M28" s="36">
        <f>1-(1-Barb!J28)^1</f>
        <v>0</v>
      </c>
      <c r="O28" s="31"/>
      <c r="P28" s="34" t="s">
        <v>19</v>
      </c>
      <c r="Q28" s="46">
        <f>Barb!N28*1</f>
        <v>0</v>
      </c>
      <c r="R28" s="36">
        <f>1-(1-Barb!N28)^1</f>
        <v>0</v>
      </c>
      <c r="T28" s="21"/>
      <c r="U28" s="12"/>
      <c r="V28" s="12"/>
      <c r="W28" s="12"/>
      <c r="X28" s="12"/>
      <c r="Y28" s="12"/>
    </row>
    <row r="29" ht="15.0" customHeight="1">
      <c r="A29" s="37" t="s">
        <v>74</v>
      </c>
      <c r="B29" s="47">
        <f>Barb!B29*1</f>
        <v>0.25</v>
      </c>
      <c r="C29" s="39">
        <f>1-(1-Barb!B29)^1</f>
        <v>0.25</v>
      </c>
      <c r="E29" s="31"/>
      <c r="F29" s="37" t="s">
        <v>75</v>
      </c>
      <c r="G29" s="47">
        <f>Barb!F29*1</f>
        <v>0.3333333333</v>
      </c>
      <c r="H29" s="39">
        <f>1-(1-Barb!F29)^1</f>
        <v>0.3333333333</v>
      </c>
      <c r="J29" s="31"/>
      <c r="K29" s="37" t="s">
        <v>76</v>
      </c>
      <c r="L29" s="47">
        <f>Barb!J29*1</f>
        <v>0</v>
      </c>
      <c r="M29" s="39">
        <f>1-(1-Barb!J29)^1</f>
        <v>0</v>
      </c>
      <c r="O29" s="31"/>
      <c r="P29" s="37" t="s">
        <v>77</v>
      </c>
      <c r="Q29" s="47">
        <f>Barb!N29*1</f>
        <v>0</v>
      </c>
      <c r="R29" s="39">
        <f>1-(1-Barb!N29)^1</f>
        <v>0</v>
      </c>
      <c r="T29" s="21"/>
      <c r="U29" s="12"/>
      <c r="V29" s="12"/>
      <c r="W29" s="12"/>
      <c r="X29" s="12"/>
      <c r="Y29" s="12"/>
    </row>
    <row r="30" ht="15.0" customHeight="1">
      <c r="A30" s="40" t="s">
        <v>78</v>
      </c>
      <c r="B30" s="46">
        <f>Barb!B30*1</f>
        <v>0.2</v>
      </c>
      <c r="C30" s="36">
        <f>1-(1-Barb!B30)^1</f>
        <v>0.2</v>
      </c>
      <c r="E30" s="31"/>
      <c r="F30" s="40" t="s">
        <v>79</v>
      </c>
      <c r="G30" s="46">
        <f>Barb!F30*1</f>
        <v>0.3333333333</v>
      </c>
      <c r="H30" s="36">
        <f>1-(1-Barb!F30)^1</f>
        <v>0.3333333333</v>
      </c>
      <c r="J30" s="31"/>
      <c r="K30" s="40" t="s">
        <v>80</v>
      </c>
      <c r="L30" s="46">
        <f>Barb!J30*2</f>
        <v>0.01140250855</v>
      </c>
      <c r="M30" s="36">
        <f>1-(1-Barb!J30)^2</f>
        <v>0.01137000425</v>
      </c>
      <c r="O30" s="31"/>
      <c r="P30" s="40" t="s">
        <v>81</v>
      </c>
      <c r="Q30" s="46">
        <f>Barb!N30*1</f>
        <v>0</v>
      </c>
      <c r="R30" s="36">
        <f>1-(1-Barb!N30)^1</f>
        <v>0</v>
      </c>
      <c r="T30" s="21"/>
      <c r="U30" s="12"/>
      <c r="V30" s="12"/>
      <c r="W30" s="12"/>
      <c r="X30" s="12"/>
      <c r="Y30" s="12"/>
    </row>
    <row r="31" ht="15.0" customHeight="1">
      <c r="A31" s="37" t="s">
        <v>82</v>
      </c>
      <c r="B31" s="47">
        <f>Barb!B31*1</f>
        <v>0.25</v>
      </c>
      <c r="C31" s="39">
        <f>1-(1-Barb!B31)^1</f>
        <v>0.25</v>
      </c>
      <c r="E31" s="31"/>
      <c r="F31" s="37" t="s">
        <v>83</v>
      </c>
      <c r="G31" s="47">
        <f>Barb!F31*1</f>
        <v>0.2</v>
      </c>
      <c r="H31" s="39">
        <f>1-(1-Barb!F31)^1</f>
        <v>0.2</v>
      </c>
      <c r="J31" s="31"/>
      <c r="K31" s="37" t="s">
        <v>84</v>
      </c>
      <c r="L31" s="47">
        <f>Barb!J31*1</f>
        <v>0</v>
      </c>
      <c r="M31" s="39">
        <f>1-(1-Barb!J31)^1</f>
        <v>0</v>
      </c>
      <c r="O31" s="31"/>
      <c r="P31" s="37" t="s">
        <v>85</v>
      </c>
      <c r="Q31" s="47">
        <f>Barb!N31*1</f>
        <v>0</v>
      </c>
      <c r="R31" s="39">
        <f>1-(1-Barb!N31)^1</f>
        <v>0</v>
      </c>
      <c r="T31" s="21"/>
      <c r="U31" s="12"/>
      <c r="V31" s="12"/>
      <c r="W31" s="12"/>
      <c r="X31" s="12"/>
      <c r="Y31" s="12"/>
    </row>
    <row r="32" ht="15.0" customHeight="1">
      <c r="A32" s="40" t="s">
        <v>86</v>
      </c>
      <c r="B32" s="46">
        <f>Barb!B32*1</f>
        <v>0.25</v>
      </c>
      <c r="C32" s="36">
        <f>1-(1-Barb!B32)^1</f>
        <v>0.25</v>
      </c>
      <c r="E32" s="31"/>
      <c r="F32" s="40" t="s">
        <v>87</v>
      </c>
      <c r="G32" s="46">
        <f>Barb!F32*1</f>
        <v>0.2</v>
      </c>
      <c r="H32" s="36">
        <f>1-(1-Barb!F32)^1</f>
        <v>0.2</v>
      </c>
      <c r="J32" s="31"/>
      <c r="K32" s="40" t="s">
        <v>88</v>
      </c>
      <c r="L32" s="46">
        <f>Barb!J32*1</f>
        <v>0.005701254276</v>
      </c>
      <c r="M32" s="36">
        <f>1-(1-Barb!J32)^1</f>
        <v>0.005701254276</v>
      </c>
      <c r="O32" s="31"/>
      <c r="P32" s="40" t="s">
        <v>89</v>
      </c>
      <c r="Q32" s="46">
        <f>Barb!N32*1</f>
        <v>0</v>
      </c>
      <c r="R32" s="36">
        <f>1-(1-Barb!N32)^1</f>
        <v>0</v>
      </c>
      <c r="T32" s="21"/>
      <c r="U32" s="12"/>
      <c r="V32" s="12"/>
      <c r="W32" s="12"/>
      <c r="X32" s="12"/>
      <c r="Y32" s="12"/>
    </row>
    <row r="33" ht="15.0" customHeight="1">
      <c r="A33" s="37" t="s">
        <v>90</v>
      </c>
      <c r="B33" s="47">
        <f>Barb!B33*1</f>
        <v>0.25</v>
      </c>
      <c r="C33" s="39">
        <f>1-(1-Barb!B33)^1</f>
        <v>0.25</v>
      </c>
      <c r="E33" s="31"/>
      <c r="F33" s="37" t="s">
        <v>91</v>
      </c>
      <c r="G33" s="47">
        <f>Barb!F33*1</f>
        <v>0.3333333333</v>
      </c>
      <c r="H33" s="39">
        <f>1-(1-Barb!F33)^1</f>
        <v>0.3333333333</v>
      </c>
      <c r="J33" s="31"/>
      <c r="K33" s="37" t="s">
        <v>92</v>
      </c>
      <c r="L33" s="47">
        <f>Barb!J33*1</f>
        <v>0</v>
      </c>
      <c r="M33" s="39">
        <f>1-(1-Barb!J33)^1</f>
        <v>0</v>
      </c>
      <c r="O33" s="31"/>
      <c r="P33" s="37" t="s">
        <v>93</v>
      </c>
      <c r="Q33" s="47">
        <f>Barb!N33*1</f>
        <v>0</v>
      </c>
      <c r="R33" s="39">
        <f>1-(1-Barb!N33)^1</f>
        <v>0</v>
      </c>
      <c r="T33" s="21"/>
      <c r="U33" s="12"/>
      <c r="V33" s="12"/>
      <c r="W33" s="12"/>
      <c r="X33" s="12"/>
      <c r="Y33" s="12"/>
    </row>
    <row r="34" ht="15.0" customHeight="1">
      <c r="A34" s="10"/>
      <c r="B34" s="26"/>
      <c r="C34" s="26"/>
      <c r="D34" s="41"/>
      <c r="E34" s="10"/>
      <c r="F34" s="10"/>
      <c r="G34" s="26"/>
      <c r="H34" s="26"/>
      <c r="I34" s="41"/>
      <c r="J34" s="10"/>
      <c r="K34" s="10"/>
      <c r="L34" s="26"/>
      <c r="M34" s="26"/>
      <c r="N34" s="41"/>
      <c r="O34" s="10"/>
      <c r="P34" s="10"/>
      <c r="Q34" s="26"/>
      <c r="R34" s="26"/>
      <c r="S34" s="42"/>
      <c r="T34" s="12"/>
      <c r="U34" s="12"/>
      <c r="V34" s="12"/>
      <c r="W34" s="12"/>
      <c r="X34" s="12"/>
      <c r="Y34" s="12"/>
    </row>
    <row r="35" ht="15.75" customHeight="1">
      <c r="A35" s="28"/>
      <c r="B35" s="29" t="s">
        <v>338</v>
      </c>
      <c r="C35" s="29" t="s">
        <v>339</v>
      </c>
      <c r="D35" s="43" t="s">
        <v>94</v>
      </c>
      <c r="E35" s="31"/>
      <c r="F35" s="28"/>
      <c r="G35" s="29" t="s">
        <v>338</v>
      </c>
      <c r="H35" s="29" t="s">
        <v>339</v>
      </c>
      <c r="I35" s="30" t="s">
        <v>95</v>
      </c>
      <c r="J35" s="31"/>
      <c r="K35" s="28"/>
      <c r="L35" s="29" t="s">
        <v>338</v>
      </c>
      <c r="M35" s="29" t="s">
        <v>339</v>
      </c>
      <c r="N35" s="30" t="s">
        <v>96</v>
      </c>
      <c r="O35" s="31"/>
      <c r="P35" s="28"/>
      <c r="Q35" s="29" t="s">
        <v>338</v>
      </c>
      <c r="R35" s="29" t="s">
        <v>339</v>
      </c>
      <c r="S35" s="30" t="s">
        <v>97</v>
      </c>
      <c r="T35" s="21"/>
      <c r="U35" s="12"/>
      <c r="V35" s="12"/>
      <c r="W35" s="12"/>
      <c r="X35" s="12"/>
      <c r="Y35" s="12"/>
    </row>
    <row r="36" ht="17.25" customHeight="1">
      <c r="A36" s="32" t="s">
        <v>18</v>
      </c>
      <c r="B36" s="45">
        <f t="shared" ref="B36:C36" si="14">AVERAGE(B37:B42)</f>
        <v>0.3444444444</v>
      </c>
      <c r="C36" s="33">
        <f t="shared" si="14"/>
        <v>0.3377777778</v>
      </c>
      <c r="E36" s="31"/>
      <c r="F36" s="32" t="s">
        <v>18</v>
      </c>
      <c r="G36" s="45">
        <f t="shared" ref="G36:H36" si="15">AVERAGE(G37:G42)</f>
        <v>0.3333333333</v>
      </c>
      <c r="H36" s="33">
        <f t="shared" si="15"/>
        <v>0.3333333333</v>
      </c>
      <c r="J36" s="31"/>
      <c r="K36" s="32" t="s">
        <v>18</v>
      </c>
      <c r="L36" s="45">
        <f t="shared" ref="L36:M36" si="16">AVERAGE(L37:L42)</f>
        <v>0.4722222222</v>
      </c>
      <c r="M36" s="33">
        <f t="shared" si="16"/>
        <v>0.4722222222</v>
      </c>
      <c r="O36" s="31"/>
      <c r="P36" s="32" t="s">
        <v>18</v>
      </c>
      <c r="Q36" s="45">
        <f t="shared" ref="Q36:R36" si="17">AVERAGE(Q37:Q42)</f>
        <v>0.1283483483</v>
      </c>
      <c r="R36" s="33">
        <f t="shared" si="17"/>
        <v>0.1236455057</v>
      </c>
      <c r="T36" s="21"/>
      <c r="U36" s="12"/>
      <c r="V36" s="12"/>
      <c r="W36" s="12"/>
      <c r="X36" s="12"/>
      <c r="Y36" s="12"/>
    </row>
    <row r="37" ht="15.0" customHeight="1">
      <c r="A37" s="34" t="s">
        <v>19</v>
      </c>
      <c r="B37" s="46">
        <f>Barb!B37*1</f>
        <v>0.3333333333</v>
      </c>
      <c r="C37" s="36">
        <f>1-(1-Barb!B37)^1</f>
        <v>0.3333333333</v>
      </c>
      <c r="E37" s="31"/>
      <c r="F37" s="34" t="s">
        <v>19</v>
      </c>
      <c r="G37" s="46">
        <f>Barb!F37*1</f>
        <v>0.3333333333</v>
      </c>
      <c r="H37" s="36">
        <f>1-(1-Barb!F37)^1</f>
        <v>0.3333333333</v>
      </c>
      <c r="J37" s="31"/>
      <c r="K37" s="34" t="s">
        <v>19</v>
      </c>
      <c r="L37" s="46">
        <f>Barb!J37*1</f>
        <v>0.5</v>
      </c>
      <c r="M37" s="36">
        <f>1-(1-Barb!J37)^1</f>
        <v>0.5</v>
      </c>
      <c r="O37" s="31"/>
      <c r="P37" s="34" t="s">
        <v>19</v>
      </c>
      <c r="Q37" s="46">
        <f>Barb!N37*2</f>
        <v>0.1</v>
      </c>
      <c r="R37" s="36">
        <f>1-(1-Barb!N37)^2</f>
        <v>0.0975</v>
      </c>
      <c r="T37" s="21"/>
      <c r="U37" s="12"/>
      <c r="V37" s="12"/>
      <c r="W37" s="12"/>
      <c r="X37" s="12"/>
      <c r="Y37" s="12"/>
    </row>
    <row r="38" ht="15.0" customHeight="1">
      <c r="A38" s="37" t="s">
        <v>98</v>
      </c>
      <c r="B38" s="47">
        <f>Barb!B38*2</f>
        <v>0.4</v>
      </c>
      <c r="C38" s="39">
        <f>1-(1-Barb!B38)^2</f>
        <v>0.36</v>
      </c>
      <c r="E38" s="31"/>
      <c r="F38" s="37" t="s">
        <v>99</v>
      </c>
      <c r="G38" s="47">
        <f>Barb!F38*1</f>
        <v>0.3333333333</v>
      </c>
      <c r="H38" s="39">
        <f>1-(1-Barb!F38)^1</f>
        <v>0.3333333333</v>
      </c>
      <c r="J38" s="31"/>
      <c r="K38" s="37" t="s">
        <v>100</v>
      </c>
      <c r="L38" s="47">
        <f>Barb!J38*1</f>
        <v>0.5</v>
      </c>
      <c r="M38" s="39">
        <f>1-(1-Barb!J38)^1</f>
        <v>0.5</v>
      </c>
      <c r="O38" s="31"/>
      <c r="P38" s="37" t="s">
        <v>101</v>
      </c>
      <c r="Q38" s="47">
        <f>Barb!N38*3</f>
        <v>0.24</v>
      </c>
      <c r="R38" s="39">
        <f>1-(1-Barb!N38)^3</f>
        <v>0.221312</v>
      </c>
      <c r="T38" s="21"/>
      <c r="U38" s="12"/>
      <c r="V38" s="12"/>
      <c r="W38" s="12"/>
      <c r="X38" s="12"/>
      <c r="Y38" s="12"/>
    </row>
    <row r="39" ht="15.0" customHeight="1">
      <c r="A39" s="40" t="s">
        <v>102</v>
      </c>
      <c r="B39" s="46">
        <f>Barb!B39*1</f>
        <v>0.3333333333</v>
      </c>
      <c r="C39" s="36">
        <f>1-(1-Barb!B39)^1</f>
        <v>0.3333333333</v>
      </c>
      <c r="E39" s="31"/>
      <c r="F39" s="40" t="s">
        <v>103</v>
      </c>
      <c r="G39" s="46">
        <f>Barb!F39*1</f>
        <v>0.3333333333</v>
      </c>
      <c r="H39" s="36">
        <f>1-(1-Barb!F39)^1</f>
        <v>0.3333333333</v>
      </c>
      <c r="J39" s="31"/>
      <c r="K39" s="40" t="s">
        <v>104</v>
      </c>
      <c r="L39" s="46">
        <f>Barb!J39*1</f>
        <v>0.3333333333</v>
      </c>
      <c r="M39" s="36">
        <f>1-(1-Barb!J39)^1</f>
        <v>0.3333333333</v>
      </c>
      <c r="O39" s="31"/>
      <c r="P39" s="40" t="s">
        <v>105</v>
      </c>
      <c r="Q39" s="46">
        <f>Barb!N39*2</f>
        <v>0.09009009009</v>
      </c>
      <c r="R39" s="36">
        <f>1-(1-Barb!N39)^2</f>
        <v>0.08806103401</v>
      </c>
      <c r="T39" s="21"/>
      <c r="U39" s="12"/>
      <c r="V39" s="12"/>
      <c r="W39" s="12"/>
      <c r="X39" s="12"/>
      <c r="Y39" s="12"/>
    </row>
    <row r="40" ht="15.0" customHeight="1">
      <c r="A40" s="37" t="s">
        <v>106</v>
      </c>
      <c r="B40" s="47">
        <f>Barb!B40*1</f>
        <v>0.3333333333</v>
      </c>
      <c r="C40" s="39">
        <f>1-(1-Barb!B40)^1</f>
        <v>0.3333333333</v>
      </c>
      <c r="E40" s="31"/>
      <c r="F40" s="37" t="s">
        <v>107</v>
      </c>
      <c r="G40" s="47">
        <f>Barb!F40*1</f>
        <v>0.3333333333</v>
      </c>
      <c r="H40" s="39">
        <f>1-(1-Barb!F40)^1</f>
        <v>0.3333333333</v>
      </c>
      <c r="J40" s="31"/>
      <c r="K40" s="37" t="s">
        <v>108</v>
      </c>
      <c r="L40" s="47">
        <f>Barb!J40*1</f>
        <v>0.5</v>
      </c>
      <c r="M40" s="39">
        <f>1-(1-Barb!J40)^1</f>
        <v>0.5</v>
      </c>
      <c r="O40" s="31"/>
      <c r="P40" s="37" t="s">
        <v>109</v>
      </c>
      <c r="Q40" s="47">
        <f>Barb!N40*1</f>
        <v>0.14</v>
      </c>
      <c r="R40" s="39">
        <f>1-(1-Barb!N40)^1</f>
        <v>0.14</v>
      </c>
      <c r="T40" s="21"/>
      <c r="U40" s="12"/>
      <c r="V40" s="12"/>
      <c r="W40" s="12"/>
      <c r="X40" s="12"/>
      <c r="Y40" s="12"/>
    </row>
    <row r="41" ht="15.0" customHeight="1">
      <c r="A41" s="40" t="s">
        <v>110</v>
      </c>
      <c r="B41" s="46">
        <f>Barb!B41*1</f>
        <v>0.3333333333</v>
      </c>
      <c r="C41" s="36">
        <f>1-(1-Barb!B41)^1</f>
        <v>0.3333333333</v>
      </c>
      <c r="E41" s="31"/>
      <c r="F41" s="40" t="s">
        <v>111</v>
      </c>
      <c r="G41" s="46">
        <f>Barb!F41*1</f>
        <v>0.3333333333</v>
      </c>
      <c r="H41" s="36">
        <f>1-(1-Barb!F41)^1</f>
        <v>0.3333333333</v>
      </c>
      <c r="J41" s="31"/>
      <c r="K41" s="40" t="s">
        <v>112</v>
      </c>
      <c r="L41" s="46">
        <f>Barb!J41*1</f>
        <v>0.5</v>
      </c>
      <c r="M41" s="36">
        <f>1-(1-Barb!J41)^1</f>
        <v>0.5</v>
      </c>
      <c r="O41" s="31"/>
      <c r="P41" s="40" t="s">
        <v>113</v>
      </c>
      <c r="Q41" s="46">
        <f>Barb!N41*2</f>
        <v>0.1</v>
      </c>
      <c r="R41" s="36">
        <f>1-(1-Barb!N41)^2</f>
        <v>0.0975</v>
      </c>
      <c r="T41" s="21"/>
      <c r="U41" s="12"/>
      <c r="V41" s="12"/>
      <c r="W41" s="12"/>
      <c r="X41" s="12"/>
      <c r="Y41" s="12"/>
    </row>
    <row r="42" ht="15.0" customHeight="1">
      <c r="A42" s="37" t="s">
        <v>114</v>
      </c>
      <c r="B42" s="47">
        <f>Barb!B42*1</f>
        <v>0.3333333333</v>
      </c>
      <c r="C42" s="39">
        <f>1-(1-Barb!B42)^1</f>
        <v>0.3333333333</v>
      </c>
      <c r="E42" s="31"/>
      <c r="F42" s="37" t="s">
        <v>115</v>
      </c>
      <c r="G42" s="47">
        <f>Barb!F42*1</f>
        <v>0.3333333333</v>
      </c>
      <c r="H42" s="39">
        <f>1-(1-Barb!F42)^1</f>
        <v>0.3333333333</v>
      </c>
      <c r="J42" s="31"/>
      <c r="K42" s="37" t="s">
        <v>116</v>
      </c>
      <c r="L42" s="47">
        <f>Barb!J42*1</f>
        <v>0.5</v>
      </c>
      <c r="M42" s="39">
        <f>1-(1-Barb!J42)^1</f>
        <v>0.5</v>
      </c>
      <c r="O42" s="31"/>
      <c r="P42" s="37" t="s">
        <v>117</v>
      </c>
      <c r="Q42" s="47">
        <f>Barb!N42*2</f>
        <v>0.1</v>
      </c>
      <c r="R42" s="39">
        <f>1-(1-Barb!N42)^2</f>
        <v>0.0975</v>
      </c>
      <c r="T42" s="21"/>
      <c r="U42" s="12"/>
      <c r="V42" s="12"/>
      <c r="W42" s="12"/>
      <c r="X42" s="12"/>
      <c r="Y42" s="12"/>
    </row>
    <row r="43" ht="15.0" customHeight="1">
      <c r="A43" s="10"/>
      <c r="B43" s="26"/>
      <c r="C43" s="26"/>
      <c r="D43" s="41"/>
      <c r="E43" s="10"/>
      <c r="F43" s="10"/>
      <c r="G43" s="26"/>
      <c r="H43" s="26"/>
      <c r="I43" s="41"/>
      <c r="J43" s="10"/>
      <c r="K43" s="10"/>
      <c r="L43" s="26"/>
      <c r="M43" s="26"/>
      <c r="N43" s="41"/>
      <c r="O43" s="10"/>
      <c r="P43" s="10"/>
      <c r="Q43" s="10"/>
      <c r="R43" s="10"/>
      <c r="S43" s="48"/>
      <c r="T43" s="12"/>
      <c r="U43" s="12"/>
      <c r="V43" s="12"/>
      <c r="W43" s="12"/>
      <c r="X43" s="12"/>
      <c r="Y43" s="12"/>
    </row>
    <row r="44" ht="15.75" customHeight="1">
      <c r="A44" s="28"/>
      <c r="B44" s="29" t="s">
        <v>338</v>
      </c>
      <c r="C44" s="29" t="s">
        <v>339</v>
      </c>
      <c r="D44" s="30" t="s">
        <v>118</v>
      </c>
      <c r="E44" s="31"/>
      <c r="F44" s="28"/>
      <c r="G44" s="29" t="s">
        <v>338</v>
      </c>
      <c r="H44" s="29" t="s">
        <v>339</v>
      </c>
      <c r="I44" s="30" t="s">
        <v>119</v>
      </c>
      <c r="J44" s="31"/>
      <c r="K44" s="28"/>
      <c r="L44" s="29" t="s">
        <v>338</v>
      </c>
      <c r="M44" s="29" t="s">
        <v>339</v>
      </c>
      <c r="N44" s="43" t="s">
        <v>120</v>
      </c>
      <c r="O44" s="31"/>
      <c r="P44" s="12"/>
      <c r="Q44" s="12"/>
      <c r="R44" s="12"/>
      <c r="S44" s="12"/>
      <c r="T44" s="12"/>
      <c r="U44" s="12"/>
      <c r="V44" s="12"/>
      <c r="W44" s="12"/>
      <c r="X44" s="12"/>
      <c r="Y44" s="12"/>
    </row>
    <row r="45" ht="17.25" customHeight="1">
      <c r="A45" s="32" t="s">
        <v>18</v>
      </c>
      <c r="B45" s="45">
        <f t="shared" ref="B45:C45" si="18">AVERAGE(B46:B51)</f>
        <v>0</v>
      </c>
      <c r="C45" s="33">
        <f t="shared" si="18"/>
        <v>0</v>
      </c>
      <c r="E45" s="31"/>
      <c r="F45" s="32" t="s">
        <v>18</v>
      </c>
      <c r="G45" s="45">
        <f t="shared" ref="G45:H45" si="19">AVERAGE(G46:G51)</f>
        <v>0</v>
      </c>
      <c r="H45" s="33">
        <f t="shared" si="19"/>
        <v>0</v>
      </c>
      <c r="J45" s="31"/>
      <c r="K45" s="32" t="s">
        <v>18</v>
      </c>
      <c r="L45" s="45">
        <f t="shared" ref="L45:M45" si="20">AVERAGE(L46:L51)</f>
        <v>0</v>
      </c>
      <c r="M45" s="33">
        <f t="shared" si="20"/>
        <v>0</v>
      </c>
      <c r="O45" s="31"/>
      <c r="P45" s="12"/>
      <c r="Q45" s="12"/>
      <c r="R45" s="12"/>
      <c r="S45" s="12"/>
      <c r="T45" s="12"/>
      <c r="U45" s="12"/>
      <c r="V45" s="12"/>
      <c r="W45" s="12"/>
      <c r="X45" s="12"/>
      <c r="Y45" s="12"/>
    </row>
    <row r="46" ht="15.0" customHeight="1">
      <c r="A46" s="34" t="s">
        <v>19</v>
      </c>
      <c r="B46" s="46">
        <f>Barb!B46*1</f>
        <v>0</v>
      </c>
      <c r="C46" s="36">
        <f>1-(1-Barb!B46)^1</f>
        <v>0</v>
      </c>
      <c r="E46" s="31"/>
      <c r="F46" s="34" t="s">
        <v>19</v>
      </c>
      <c r="G46" s="46">
        <f>Barb!F46*1</f>
        <v>0</v>
      </c>
      <c r="H46" s="36">
        <f>1-(1-Barb!F46)^1</f>
        <v>0</v>
      </c>
      <c r="J46" s="31"/>
      <c r="K46" s="34" t="s">
        <v>19</v>
      </c>
      <c r="L46" s="46">
        <f>Barb!J46*1</f>
        <v>0</v>
      </c>
      <c r="M46" s="36">
        <f>1-(1-Barb!J46)^1</f>
        <v>0</v>
      </c>
      <c r="O46" s="31"/>
      <c r="P46" s="12"/>
      <c r="Q46" s="12"/>
      <c r="R46" s="12"/>
      <c r="S46" s="12"/>
      <c r="T46" s="12"/>
      <c r="U46" s="12"/>
      <c r="V46" s="12"/>
      <c r="W46" s="12"/>
      <c r="X46" s="12"/>
      <c r="Y46" s="12"/>
    </row>
    <row r="47" ht="15.0" customHeight="1">
      <c r="A47" s="37" t="s">
        <v>121</v>
      </c>
      <c r="B47" s="47">
        <f>Barb!B47*1</f>
        <v>0</v>
      </c>
      <c r="C47" s="39">
        <f>1-(1-Barb!B47)^1</f>
        <v>0</v>
      </c>
      <c r="E47" s="31"/>
      <c r="F47" s="37" t="s">
        <v>122</v>
      </c>
      <c r="G47" s="47">
        <f>Barb!F47*1</f>
        <v>0</v>
      </c>
      <c r="H47" s="39">
        <f>1-(1-Barb!F47)^1</f>
        <v>0</v>
      </c>
      <c r="J47" s="31"/>
      <c r="K47" s="37" t="s">
        <v>123</v>
      </c>
      <c r="L47" s="47">
        <f>Barb!J47*1</f>
        <v>0</v>
      </c>
      <c r="M47" s="39">
        <f>1-(1-Barb!J47)^1</f>
        <v>0</v>
      </c>
      <c r="O47" s="31"/>
      <c r="P47" s="12"/>
      <c r="Q47" s="12"/>
      <c r="R47" s="12"/>
      <c r="S47" s="12"/>
      <c r="T47" s="12"/>
      <c r="U47" s="12"/>
      <c r="V47" s="12"/>
      <c r="W47" s="12"/>
      <c r="X47" s="12"/>
      <c r="Y47" s="12"/>
    </row>
    <row r="48" ht="15.0" customHeight="1">
      <c r="A48" s="40" t="s">
        <v>124</v>
      </c>
      <c r="B48" s="46">
        <f>Barb!B48*1</f>
        <v>0</v>
      </c>
      <c r="C48" s="36">
        <f>1-(1-Barb!B48)^1</f>
        <v>0</v>
      </c>
      <c r="E48" s="31"/>
      <c r="F48" s="40" t="s">
        <v>125</v>
      </c>
      <c r="G48" s="46">
        <f>Barb!F48*1</f>
        <v>0</v>
      </c>
      <c r="H48" s="36">
        <f>1-(1-Barb!F48)^1</f>
        <v>0</v>
      </c>
      <c r="J48" s="31"/>
      <c r="K48" s="40" t="s">
        <v>126</v>
      </c>
      <c r="L48" s="46">
        <f>Barb!J48*1</f>
        <v>0</v>
      </c>
      <c r="M48" s="36">
        <f>1-(1-Barb!J48)^1</f>
        <v>0</v>
      </c>
      <c r="O48" s="31"/>
      <c r="P48" s="12"/>
      <c r="Q48" s="12"/>
      <c r="R48" s="12"/>
      <c r="S48" s="12"/>
      <c r="T48" s="12"/>
      <c r="U48" s="12"/>
      <c r="V48" s="12"/>
      <c r="W48" s="12"/>
      <c r="X48" s="12"/>
      <c r="Y48" s="12"/>
    </row>
    <row r="49" ht="15.0" customHeight="1">
      <c r="A49" s="37" t="s">
        <v>127</v>
      </c>
      <c r="B49" s="47">
        <f>Barb!B49*1</f>
        <v>0</v>
      </c>
      <c r="C49" s="39">
        <f>1-(1-Barb!B49)^1</f>
        <v>0</v>
      </c>
      <c r="E49" s="31"/>
      <c r="F49" s="37" t="s">
        <v>128</v>
      </c>
      <c r="G49" s="47">
        <f>Barb!F49*1</f>
        <v>0</v>
      </c>
      <c r="H49" s="39">
        <f>1-(1-Barb!F49)^1</f>
        <v>0</v>
      </c>
      <c r="J49" s="31"/>
      <c r="K49" s="37" t="s">
        <v>129</v>
      </c>
      <c r="L49" s="47">
        <f>Barb!J49*1</f>
        <v>0</v>
      </c>
      <c r="M49" s="39">
        <f>1-(1-Barb!J49)^1</f>
        <v>0</v>
      </c>
      <c r="O49" s="31"/>
      <c r="P49" s="12"/>
      <c r="Q49" s="12"/>
      <c r="R49" s="12"/>
      <c r="S49" s="12"/>
      <c r="T49" s="12"/>
      <c r="U49" s="12"/>
      <c r="V49" s="12"/>
      <c r="W49" s="12"/>
      <c r="X49" s="12"/>
      <c r="Y49" s="12"/>
    </row>
    <row r="50" ht="15.0" customHeight="1">
      <c r="A50" s="40" t="s">
        <v>130</v>
      </c>
      <c r="B50" s="46">
        <f>Barb!B50*1</f>
        <v>0</v>
      </c>
      <c r="C50" s="36">
        <f>1-(1-Barb!B50)^1</f>
        <v>0</v>
      </c>
      <c r="E50" s="31"/>
      <c r="F50" s="40" t="s">
        <v>131</v>
      </c>
      <c r="G50" s="46">
        <f>Barb!F50*1</f>
        <v>0</v>
      </c>
      <c r="H50" s="36">
        <f>1-(1-Barb!F50)^1</f>
        <v>0</v>
      </c>
      <c r="J50" s="31"/>
      <c r="K50" s="40" t="s">
        <v>132</v>
      </c>
      <c r="L50" s="46">
        <f>Barb!J50*1</f>
        <v>0</v>
      </c>
      <c r="M50" s="36">
        <f>1-(1-Barb!J50)^1</f>
        <v>0</v>
      </c>
      <c r="O50" s="31"/>
      <c r="P50" s="12"/>
      <c r="Q50" s="12"/>
      <c r="R50" s="12"/>
      <c r="S50" s="12"/>
      <c r="T50" s="12"/>
      <c r="U50" s="12"/>
      <c r="V50" s="12"/>
      <c r="W50" s="12"/>
      <c r="X50" s="12"/>
      <c r="Y50" s="12"/>
    </row>
    <row r="51" ht="15.0" customHeight="1">
      <c r="A51" s="37" t="s">
        <v>133</v>
      </c>
      <c r="B51" s="47">
        <f>Barb!B51*1</f>
        <v>0</v>
      </c>
      <c r="C51" s="39">
        <f>1-(1-Barb!B51)^1</f>
        <v>0</v>
      </c>
      <c r="E51" s="31"/>
      <c r="F51" s="37" t="s">
        <v>134</v>
      </c>
      <c r="G51" s="47">
        <f>Barb!F51*1</f>
        <v>0</v>
      </c>
      <c r="H51" s="39">
        <f>1-(1-Barb!F51)^1</f>
        <v>0</v>
      </c>
      <c r="J51" s="31"/>
      <c r="K51" s="37" t="s">
        <v>135</v>
      </c>
      <c r="L51" s="47">
        <f>Barb!J51*1</f>
        <v>0</v>
      </c>
      <c r="M51" s="39">
        <f>1-(1-Barb!J51)^1</f>
        <v>0</v>
      </c>
      <c r="O51" s="31"/>
      <c r="P51" s="12"/>
      <c r="Q51" s="12"/>
      <c r="R51" s="12"/>
      <c r="S51" s="12"/>
      <c r="T51" s="12"/>
      <c r="U51" s="12"/>
      <c r="V51" s="12"/>
      <c r="W51" s="12"/>
      <c r="X51" s="12"/>
      <c r="Y51" s="12"/>
    </row>
    <row r="52" ht="15.0" customHeight="1">
      <c r="A52" s="10"/>
      <c r="B52" s="26"/>
      <c r="C52" s="26"/>
      <c r="D52" s="41"/>
      <c r="E52" s="10"/>
      <c r="F52" s="10"/>
      <c r="G52" s="26"/>
      <c r="H52" s="26"/>
      <c r="I52" s="41"/>
      <c r="J52" s="10"/>
      <c r="K52" s="10"/>
      <c r="L52" s="26"/>
      <c r="M52" s="26"/>
      <c r="N52" s="41"/>
      <c r="O52" s="10"/>
      <c r="P52" s="10"/>
      <c r="Q52" s="10"/>
      <c r="R52" s="10"/>
      <c r="S52" s="12"/>
      <c r="T52" s="12"/>
      <c r="U52" s="12"/>
      <c r="V52" s="12"/>
      <c r="W52" s="12"/>
      <c r="X52" s="12"/>
      <c r="Y52" s="12"/>
    </row>
    <row r="53" ht="15.75" customHeight="1">
      <c r="A53" s="28"/>
      <c r="B53" s="29" t="s">
        <v>338</v>
      </c>
      <c r="C53" s="29" t="s">
        <v>339</v>
      </c>
      <c r="D53" s="30" t="s">
        <v>136</v>
      </c>
      <c r="E53" s="31"/>
      <c r="F53" s="28"/>
      <c r="G53" s="29" t="s">
        <v>338</v>
      </c>
      <c r="H53" s="29" t="s">
        <v>339</v>
      </c>
      <c r="I53" s="30" t="s">
        <v>137</v>
      </c>
      <c r="J53" s="31"/>
      <c r="K53" s="28"/>
      <c r="L53" s="29" t="s">
        <v>338</v>
      </c>
      <c r="M53" s="29" t="s">
        <v>339</v>
      </c>
      <c r="N53" s="30" t="s">
        <v>138</v>
      </c>
      <c r="O53" s="31"/>
      <c r="P53" s="10"/>
      <c r="Q53" s="10"/>
      <c r="R53" s="10"/>
      <c r="S53" s="12"/>
      <c r="T53" s="12"/>
      <c r="U53" s="12"/>
      <c r="V53" s="12"/>
      <c r="W53" s="12"/>
      <c r="X53" s="12"/>
      <c r="Y53" s="12"/>
    </row>
    <row r="54" ht="17.25" customHeight="1">
      <c r="A54" s="32" t="s">
        <v>18</v>
      </c>
      <c r="B54" s="45">
        <f t="shared" ref="B54:C54" si="21">AVERAGE(B55:B60)</f>
        <v>0.09666666667</v>
      </c>
      <c r="C54" s="33">
        <f t="shared" si="21"/>
        <v>0.09666666667</v>
      </c>
      <c r="E54" s="31"/>
      <c r="F54" s="32" t="s">
        <v>18</v>
      </c>
      <c r="G54" s="45">
        <f t="shared" ref="G54:H54" si="22">AVERAGE(G55:G60)</f>
        <v>0</v>
      </c>
      <c r="H54" s="33">
        <f t="shared" si="22"/>
        <v>0</v>
      </c>
      <c r="J54" s="31"/>
      <c r="K54" s="32" t="s">
        <v>18</v>
      </c>
      <c r="L54" s="45">
        <f t="shared" ref="L54:M54" si="23">AVERAGE(L55:L60)</f>
        <v>0.04166666667</v>
      </c>
      <c r="M54" s="33">
        <f t="shared" si="23"/>
        <v>0.04166666667</v>
      </c>
      <c r="O54" s="31"/>
      <c r="P54" s="10"/>
      <c r="Q54" s="10"/>
      <c r="R54" s="10"/>
      <c r="S54" s="12"/>
      <c r="T54" s="12"/>
      <c r="U54" s="12"/>
      <c r="V54" s="12"/>
      <c r="W54" s="12"/>
      <c r="X54" s="12"/>
      <c r="Y54" s="12"/>
    </row>
    <row r="55" ht="15.0" customHeight="1">
      <c r="A55" s="34" t="s">
        <v>19</v>
      </c>
      <c r="B55" s="46">
        <f>Barb!B55*1</f>
        <v>0.1</v>
      </c>
      <c r="C55" s="36">
        <f>1-(1-Barb!B55)^1</f>
        <v>0.1</v>
      </c>
      <c r="E55" s="31"/>
      <c r="F55" s="34" t="s">
        <v>19</v>
      </c>
      <c r="G55" s="46">
        <f>Barb!F55*1</f>
        <v>0</v>
      </c>
      <c r="H55" s="36">
        <f>1-(1-Barb!F55)^1</f>
        <v>0</v>
      </c>
      <c r="J55" s="31"/>
      <c r="K55" s="34" t="s">
        <v>19</v>
      </c>
      <c r="L55" s="46">
        <f>Barb!J55*1</f>
        <v>0</v>
      </c>
      <c r="M55" s="36">
        <f>1-(1-Barb!J55)^1</f>
        <v>0</v>
      </c>
      <c r="O55" s="31"/>
      <c r="P55" s="10"/>
      <c r="Q55" s="10"/>
      <c r="R55" s="10"/>
      <c r="S55" s="12"/>
      <c r="T55" s="12"/>
      <c r="U55" s="12"/>
      <c r="V55" s="12"/>
      <c r="W55" s="12"/>
      <c r="X55" s="12"/>
      <c r="Y55" s="12"/>
    </row>
    <row r="56" ht="15.0" customHeight="1">
      <c r="A56" s="37" t="s">
        <v>139</v>
      </c>
      <c r="B56" s="47">
        <f>Barb!B56*1</f>
        <v>0.1</v>
      </c>
      <c r="C56" s="39">
        <f>1-(1-Barb!B56)^1</f>
        <v>0.1</v>
      </c>
      <c r="E56" s="31"/>
      <c r="F56" s="37" t="s">
        <v>140</v>
      </c>
      <c r="G56" s="47">
        <f>Barb!F56*1</f>
        <v>0</v>
      </c>
      <c r="H56" s="39">
        <f>1-(1-Barb!F56)^1</f>
        <v>0</v>
      </c>
      <c r="J56" s="31"/>
      <c r="K56" s="37" t="s">
        <v>141</v>
      </c>
      <c r="L56" s="47">
        <f>Barb!J56*1</f>
        <v>0.25</v>
      </c>
      <c r="M56" s="39">
        <f>1-(1-Barb!J56)^1</f>
        <v>0.25</v>
      </c>
      <c r="O56" s="31"/>
      <c r="P56" s="10"/>
      <c r="Q56" s="10"/>
      <c r="R56" s="10"/>
      <c r="S56" s="12"/>
      <c r="T56" s="12"/>
      <c r="U56" s="12"/>
      <c r="V56" s="12"/>
      <c r="W56" s="12"/>
      <c r="X56" s="12"/>
      <c r="Y56" s="12"/>
    </row>
    <row r="57" ht="15.0" customHeight="1">
      <c r="A57" s="40" t="s">
        <v>142</v>
      </c>
      <c r="B57" s="46">
        <f>Barb!B57*1</f>
        <v>0.1</v>
      </c>
      <c r="C57" s="36">
        <f>1-(1-Barb!B57)^1</f>
        <v>0.1</v>
      </c>
      <c r="E57" s="31"/>
      <c r="F57" s="40" t="s">
        <v>143</v>
      </c>
      <c r="G57" s="46">
        <f>Barb!F57*1</f>
        <v>0</v>
      </c>
      <c r="H57" s="36">
        <f>1-(1-Barb!F57)^1</f>
        <v>0</v>
      </c>
      <c r="J57" s="31"/>
      <c r="K57" s="40" t="s">
        <v>144</v>
      </c>
      <c r="L57" s="46">
        <f>Barb!J57*1</f>
        <v>0</v>
      </c>
      <c r="M57" s="36">
        <f>1-(1-Barb!J57)^1</f>
        <v>0</v>
      </c>
      <c r="O57" s="31"/>
      <c r="P57" s="10"/>
      <c r="Q57" s="10"/>
      <c r="R57" s="10"/>
      <c r="S57" s="12"/>
      <c r="T57" s="12"/>
      <c r="U57" s="12"/>
      <c r="V57" s="12"/>
      <c r="W57" s="12"/>
      <c r="X57" s="12"/>
      <c r="Y57" s="12"/>
    </row>
    <row r="58" ht="15.0" customHeight="1">
      <c r="A58" s="37" t="s">
        <v>145</v>
      </c>
      <c r="B58" s="47">
        <f>Barb!B58*1</f>
        <v>0.08</v>
      </c>
      <c r="C58" s="39">
        <f>1-(1-Barb!B58)^1</f>
        <v>0.08</v>
      </c>
      <c r="E58" s="31"/>
      <c r="F58" s="37" t="s">
        <v>146</v>
      </c>
      <c r="G58" s="47">
        <f>Barb!F58*1</f>
        <v>0</v>
      </c>
      <c r="H58" s="39">
        <f>1-(1-Barb!F58)^1</f>
        <v>0</v>
      </c>
      <c r="J58" s="31"/>
      <c r="K58" s="37" t="s">
        <v>147</v>
      </c>
      <c r="L58" s="47">
        <f>Barb!J58*1</f>
        <v>0</v>
      </c>
      <c r="M58" s="39">
        <f>1-(1-Barb!J58)^1</f>
        <v>0</v>
      </c>
      <c r="O58" s="31"/>
      <c r="P58" s="10"/>
      <c r="Q58" s="10"/>
      <c r="R58" s="10"/>
      <c r="S58" s="12"/>
      <c r="T58" s="12"/>
      <c r="U58" s="12"/>
      <c r="V58" s="12"/>
      <c r="W58" s="12"/>
      <c r="X58" s="12"/>
      <c r="Y58" s="12"/>
    </row>
    <row r="59" ht="15.0" customHeight="1">
      <c r="A59" s="40" t="s">
        <v>148</v>
      </c>
      <c r="B59" s="46">
        <f>Barb!B59*1</f>
        <v>0.1</v>
      </c>
      <c r="C59" s="36">
        <f>1-(1-Barb!B59)^1</f>
        <v>0.1</v>
      </c>
      <c r="E59" s="31"/>
      <c r="F59" s="40" t="s">
        <v>149</v>
      </c>
      <c r="G59" s="46">
        <f>Barb!F59*1</f>
        <v>0</v>
      </c>
      <c r="H59" s="36">
        <f>1-(1-Barb!F59)^1</f>
        <v>0</v>
      </c>
      <c r="J59" s="31"/>
      <c r="K59" s="40" t="s">
        <v>150</v>
      </c>
      <c r="L59" s="46">
        <f>Barb!J59*1</f>
        <v>0</v>
      </c>
      <c r="M59" s="36">
        <f>1-(1-Barb!J59)^1</f>
        <v>0</v>
      </c>
      <c r="O59" s="31"/>
      <c r="P59" s="10"/>
      <c r="Q59" s="10"/>
      <c r="R59" s="10"/>
      <c r="S59" s="12"/>
      <c r="T59" s="12"/>
      <c r="U59" s="12"/>
      <c r="V59" s="12"/>
      <c r="W59" s="12"/>
      <c r="X59" s="12"/>
      <c r="Y59" s="12"/>
    </row>
    <row r="60" ht="15.0" customHeight="1">
      <c r="A60" s="37" t="s">
        <v>151</v>
      </c>
      <c r="B60" s="47">
        <f>Barb!B60*1</f>
        <v>0.1</v>
      </c>
      <c r="C60" s="39">
        <f>1-(1-Barb!B60)^1</f>
        <v>0.1</v>
      </c>
      <c r="E60" s="31"/>
      <c r="F60" s="37" t="s">
        <v>152</v>
      </c>
      <c r="G60" s="47">
        <f>Barb!F60*1</f>
        <v>0</v>
      </c>
      <c r="H60" s="39">
        <f>1-(1-Barb!F60)^1</f>
        <v>0</v>
      </c>
      <c r="J60" s="31"/>
      <c r="K60" s="37" t="s">
        <v>153</v>
      </c>
      <c r="L60" s="47">
        <f>Barb!J60*1</f>
        <v>0</v>
      </c>
      <c r="M60" s="39">
        <f>1-(1-Barb!J60)^1</f>
        <v>0</v>
      </c>
      <c r="O60" s="31"/>
      <c r="P60" s="10"/>
      <c r="Q60" s="10"/>
      <c r="R60" s="10"/>
      <c r="S60" s="12"/>
      <c r="T60" s="12"/>
      <c r="U60" s="12"/>
      <c r="V60" s="12"/>
      <c r="W60" s="12"/>
      <c r="X60" s="12"/>
      <c r="Y60" s="12"/>
    </row>
    <row r="61" ht="15.0" customHeight="1">
      <c r="A61" s="12"/>
      <c r="B61" s="12"/>
      <c r="C61" s="12"/>
      <c r="D61" s="48"/>
      <c r="E61" s="12"/>
      <c r="F61" s="12"/>
      <c r="G61" s="12"/>
      <c r="H61" s="12"/>
      <c r="I61" s="48"/>
      <c r="J61" s="12"/>
      <c r="K61" s="12"/>
      <c r="L61" s="12"/>
      <c r="M61" s="12"/>
      <c r="N61" s="48"/>
      <c r="O61" s="12"/>
      <c r="P61" s="12"/>
      <c r="Q61" s="12"/>
      <c r="R61" s="12"/>
      <c r="S61" s="12"/>
      <c r="T61" s="12"/>
      <c r="U61" s="12"/>
      <c r="V61" s="12"/>
      <c r="W61" s="12"/>
      <c r="X61" s="12"/>
      <c r="Y61" s="12"/>
    </row>
    <row r="62" ht="15.0"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ht="15.0" customHeight="1">
      <c r="A63" s="53" t="s">
        <v>343</v>
      </c>
      <c r="U63" s="54"/>
      <c r="V63" s="54"/>
      <c r="W63" s="54"/>
      <c r="X63" s="54"/>
      <c r="Y63" s="54"/>
    </row>
    <row r="64" ht="15.0" customHeight="1">
      <c r="A64" s="54"/>
      <c r="U64" s="54"/>
      <c r="V64" s="54"/>
      <c r="W64" s="54"/>
      <c r="X64" s="54"/>
      <c r="Y64" s="54"/>
    </row>
  </sheetData>
  <mergeCells count="33">
    <mergeCell ref="A1:Y1"/>
    <mergeCell ref="A2:Y2"/>
    <mergeCell ref="A3:Y3"/>
    <mergeCell ref="B4:F4"/>
    <mergeCell ref="G4:I4"/>
    <mergeCell ref="B5:F5"/>
    <mergeCell ref="G5:K6"/>
    <mergeCell ref="S8:S15"/>
    <mergeCell ref="S17:S24"/>
    <mergeCell ref="X17:X24"/>
    <mergeCell ref="S26:S33"/>
    <mergeCell ref="S35:S42"/>
    <mergeCell ref="I17:I24"/>
    <mergeCell ref="I26:I33"/>
    <mergeCell ref="I35:I42"/>
    <mergeCell ref="I44:I51"/>
    <mergeCell ref="I53:I60"/>
    <mergeCell ref="D26:D33"/>
    <mergeCell ref="D35:D42"/>
    <mergeCell ref="D44:D51"/>
    <mergeCell ref="D53:D60"/>
    <mergeCell ref="N35:N42"/>
    <mergeCell ref="N44:N51"/>
    <mergeCell ref="N53:N60"/>
    <mergeCell ref="A63:T63"/>
    <mergeCell ref="A64:T64"/>
    <mergeCell ref="B6:F6"/>
    <mergeCell ref="D8:D15"/>
    <mergeCell ref="I8:I15"/>
    <mergeCell ref="N8:N15"/>
    <mergeCell ref="D17:D24"/>
    <mergeCell ref="N17:N24"/>
    <mergeCell ref="N26:N33"/>
  </mergeCells>
  <hyperlinks>
    <hyperlink r:id="rId1" ref="G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5"/>
    <col customWidth="1" min="2" max="2" width="8.75"/>
    <col customWidth="1" min="3" max="3" width="10.38"/>
    <col customWidth="1" min="4" max="4" width="8.75"/>
    <col customWidth="1" min="5" max="5" width="23.63"/>
    <col customWidth="1" min="6" max="8" width="8.75"/>
    <col customWidth="1" min="9" max="9" width="23.5"/>
    <col customWidth="1" min="10" max="12" width="8.75"/>
    <col customWidth="1" min="13" max="13" width="28.13"/>
    <col customWidth="1" min="14" max="16" width="8.75"/>
    <col customWidth="1" min="17" max="17" width="21.0"/>
    <col customWidth="1" min="18" max="25" width="8.75"/>
  </cols>
  <sheetData>
    <row r="1" ht="98.25" customHeight="1">
      <c r="A1" s="66" t="str">
        <f>Barb!A1</f>
        <v>- OUTDATED -
</v>
      </c>
    </row>
    <row r="2" ht="26.2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6.25" customHeight="1">
      <c r="A3" s="4"/>
      <c r="B3" s="4"/>
      <c r="C3" s="4"/>
      <c r="D3" s="4"/>
      <c r="E3" s="4"/>
      <c r="F3" s="4"/>
      <c r="G3" s="4"/>
      <c r="H3" s="4"/>
      <c r="I3" s="4"/>
      <c r="J3" s="4"/>
      <c r="K3" s="4"/>
      <c r="L3" s="4"/>
      <c r="M3" s="4"/>
      <c r="N3" s="4"/>
      <c r="O3" s="4"/>
      <c r="P3" s="4"/>
      <c r="Q3" s="4"/>
      <c r="R3" s="4"/>
      <c r="S3" s="4"/>
      <c r="T3" s="4"/>
      <c r="U3" s="4"/>
      <c r="V3" s="4"/>
      <c r="W3" s="4"/>
      <c r="X3" s="4"/>
      <c r="Y3" s="4"/>
    </row>
    <row r="4" ht="26.25" customHeight="1">
      <c r="A4" s="80" t="str">
        <f>Barb!A4</f>
        <v>100% tested (2.0.6)</v>
      </c>
      <c r="B4" s="81" t="str">
        <f>Barb!B4</f>
        <v>Proc Coefficients</v>
      </c>
      <c r="C4" s="7"/>
      <c r="D4" s="7"/>
      <c r="E4" s="7"/>
      <c r="F4" s="8"/>
      <c r="G4" s="70" t="str">
        <f>Barb!G4</f>
        <v>Downloadable Sheet:</v>
      </c>
      <c r="H4" s="7"/>
      <c r="I4" s="8"/>
      <c r="J4" s="10"/>
      <c r="K4" s="10"/>
      <c r="L4" s="10"/>
      <c r="M4" s="82" t="str">
        <f>Barb!M4</f>
        <v>Donate</v>
      </c>
      <c r="N4" s="10"/>
      <c r="O4" s="10"/>
      <c r="P4" s="10"/>
      <c r="Q4" s="10"/>
      <c r="R4" s="10"/>
      <c r="S4" s="12"/>
      <c r="T4" s="13"/>
      <c r="U4" s="7"/>
      <c r="V4" s="7"/>
      <c r="W4" s="7"/>
      <c r="X4" s="7"/>
      <c r="Y4" s="7"/>
    </row>
    <row r="5" ht="15.75" customHeight="1">
      <c r="A5" s="83" t="str">
        <f>Barb!A5</f>
        <v>Updated: 7/10/14</v>
      </c>
      <c r="B5" s="84" t="str">
        <f>Barb!B5</f>
        <v>(per hit/tick)</v>
      </c>
      <c r="C5" s="7"/>
      <c r="D5" s="7"/>
      <c r="E5" s="7"/>
      <c r="F5" s="8"/>
      <c r="G5" s="74" t="s">
        <v>8</v>
      </c>
      <c r="H5" s="17"/>
      <c r="I5" s="17"/>
      <c r="J5" s="18"/>
      <c r="K5" s="10"/>
      <c r="L5" s="10"/>
      <c r="M5" s="85" t="s">
        <v>9</v>
      </c>
      <c r="N5" s="20" t="s">
        <v>10</v>
      </c>
      <c r="O5" s="10"/>
      <c r="P5" s="10"/>
      <c r="Q5" s="10"/>
      <c r="R5" s="10"/>
      <c r="S5" s="12"/>
      <c r="T5" s="13"/>
      <c r="U5" s="7"/>
      <c r="V5" s="7"/>
      <c r="W5" s="7"/>
      <c r="X5" s="7"/>
      <c r="Y5" s="7"/>
    </row>
    <row r="6" ht="30.0" customHeight="1">
      <c r="A6" s="21"/>
      <c r="B6" s="86" t="s">
        <v>344</v>
      </c>
      <c r="C6" s="7"/>
      <c r="D6" s="7"/>
      <c r="E6" s="7"/>
      <c r="F6" s="8"/>
      <c r="G6" s="23"/>
      <c r="H6" s="4"/>
      <c r="I6" s="4"/>
      <c r="J6" s="24"/>
      <c r="K6" s="10"/>
      <c r="L6" s="10"/>
      <c r="M6" s="25" t="s">
        <v>345</v>
      </c>
      <c r="N6" s="10"/>
      <c r="O6" s="10"/>
      <c r="P6" s="10"/>
      <c r="Q6" s="10"/>
      <c r="R6" s="10"/>
      <c r="S6" s="12"/>
      <c r="T6" s="13"/>
      <c r="U6" s="7"/>
      <c r="V6" s="7"/>
      <c r="W6" s="7"/>
      <c r="X6" s="7"/>
      <c r="Y6" s="7"/>
    </row>
    <row r="7" ht="15.0" customHeight="1">
      <c r="A7" s="10"/>
      <c r="B7" s="26"/>
      <c r="C7" s="26"/>
      <c r="D7" s="10"/>
      <c r="E7" s="10"/>
      <c r="F7" s="26"/>
      <c r="G7" s="26"/>
      <c r="H7" s="10"/>
      <c r="I7" s="10"/>
      <c r="J7" s="26"/>
      <c r="K7" s="26"/>
      <c r="L7" s="10"/>
      <c r="M7" s="10"/>
      <c r="N7" s="26"/>
      <c r="O7" s="26"/>
      <c r="P7" s="10"/>
      <c r="Q7" s="10"/>
      <c r="R7" s="10"/>
      <c r="S7" s="12"/>
      <c r="T7" s="13"/>
      <c r="U7" s="7"/>
      <c r="V7" s="7"/>
      <c r="W7" s="7"/>
      <c r="X7" s="7"/>
      <c r="Y7" s="7"/>
    </row>
    <row r="8" ht="15.0" customHeight="1">
      <c r="A8" s="28"/>
      <c r="B8" s="29" t="s">
        <v>13</v>
      </c>
      <c r="C8" s="30" t="s">
        <v>28</v>
      </c>
      <c r="D8" s="31"/>
      <c r="E8" s="28"/>
      <c r="F8" s="29" t="s">
        <v>13</v>
      </c>
      <c r="G8" s="30" t="s">
        <v>346</v>
      </c>
      <c r="H8" s="31"/>
      <c r="I8" s="28"/>
      <c r="J8" s="29" t="s">
        <v>13</v>
      </c>
      <c r="K8" s="30" t="s">
        <v>34</v>
      </c>
      <c r="L8" s="31"/>
      <c r="M8" s="28"/>
      <c r="N8" s="29" t="s">
        <v>13</v>
      </c>
      <c r="O8" s="30" t="s">
        <v>347</v>
      </c>
      <c r="P8" s="31"/>
      <c r="Q8" s="10"/>
      <c r="R8" s="10"/>
      <c r="S8" s="12"/>
      <c r="T8" s="13"/>
      <c r="U8" s="7"/>
      <c r="V8" s="7"/>
      <c r="W8" s="7"/>
      <c r="X8" s="7"/>
      <c r="Y8" s="7"/>
    </row>
    <row r="9" ht="17.25" customHeight="1">
      <c r="A9" s="87" t="s">
        <v>18</v>
      </c>
      <c r="B9" s="88">
        <f>AVERAGE(B10:B15)</f>
        <v>0.5555555556</v>
      </c>
      <c r="D9" s="31"/>
      <c r="E9" s="87" t="s">
        <v>18</v>
      </c>
      <c r="F9" s="88">
        <f>AVERAGE(F10:F15)</f>
        <v>0.725</v>
      </c>
      <c r="H9" s="31"/>
      <c r="I9" s="87" t="s">
        <v>18</v>
      </c>
      <c r="J9" s="88">
        <f>AVERAGE(J10:J15)</f>
        <v>0.3</v>
      </c>
      <c r="L9" s="31"/>
      <c r="M9" s="87" t="s">
        <v>18</v>
      </c>
      <c r="N9" s="88">
        <f>AVERAGE(N10:N15)</f>
        <v>0.8833333333</v>
      </c>
      <c r="P9" s="31"/>
      <c r="Q9" s="10"/>
      <c r="R9" s="10"/>
      <c r="S9" s="12"/>
      <c r="T9" s="13"/>
      <c r="U9" s="7"/>
      <c r="V9" s="7"/>
      <c r="W9" s="7"/>
      <c r="X9" s="7"/>
      <c r="Y9" s="7"/>
    </row>
    <row r="10" ht="15.0" customHeight="1">
      <c r="A10" s="89" t="s">
        <v>19</v>
      </c>
      <c r="B10" s="90">
        <v>1.0</v>
      </c>
      <c r="D10" s="31"/>
      <c r="E10" s="89" t="s">
        <v>19</v>
      </c>
      <c r="F10" s="91">
        <f t="shared" ref="F10:F11" si="1">4/5</f>
        <v>0.8</v>
      </c>
      <c r="H10" s="31"/>
      <c r="I10" s="89" t="s">
        <v>19</v>
      </c>
      <c r="J10" s="91">
        <f t="shared" ref="J10:J13" si="2">1/3</f>
        <v>0.3333333333</v>
      </c>
      <c r="L10" s="31"/>
      <c r="M10" s="89" t="s">
        <v>19</v>
      </c>
      <c r="N10" s="90">
        <v>1.0</v>
      </c>
      <c r="P10" s="31"/>
      <c r="Q10" s="10"/>
      <c r="R10" s="10"/>
      <c r="S10" s="12"/>
      <c r="T10" s="13"/>
      <c r="U10" s="7"/>
      <c r="V10" s="7"/>
      <c r="W10" s="7"/>
      <c r="X10" s="7"/>
      <c r="Y10" s="7"/>
    </row>
    <row r="11" ht="15.0" customHeight="1">
      <c r="A11" s="92" t="s">
        <v>348</v>
      </c>
      <c r="B11" s="93">
        <f t="shared" ref="B11:B13" si="3">1/3</f>
        <v>0.3333333333</v>
      </c>
      <c r="D11" s="31"/>
      <c r="E11" s="92" t="s">
        <v>349</v>
      </c>
      <c r="F11" s="93">
        <f t="shared" si="1"/>
        <v>0.8</v>
      </c>
      <c r="H11" s="31"/>
      <c r="I11" s="92" t="s">
        <v>350</v>
      </c>
      <c r="J11" s="93">
        <f t="shared" si="2"/>
        <v>0.3333333333</v>
      </c>
      <c r="L11" s="31"/>
      <c r="M11" s="92" t="s">
        <v>351</v>
      </c>
      <c r="N11" s="93">
        <f>3/5</f>
        <v>0.6</v>
      </c>
      <c r="P11" s="31"/>
      <c r="Q11" s="10"/>
      <c r="R11" s="10"/>
      <c r="S11" s="12"/>
      <c r="T11" s="13"/>
      <c r="U11" s="7"/>
      <c r="V11" s="7"/>
      <c r="W11" s="7"/>
      <c r="X11" s="7"/>
      <c r="Y11" s="7"/>
    </row>
    <row r="12" ht="15.0" customHeight="1">
      <c r="A12" s="94" t="s">
        <v>352</v>
      </c>
      <c r="B12" s="91">
        <f t="shared" si="3"/>
        <v>0.3333333333</v>
      </c>
      <c r="D12" s="31"/>
      <c r="E12" s="94" t="s">
        <v>353</v>
      </c>
      <c r="F12" s="91">
        <f>27/50</f>
        <v>0.54</v>
      </c>
      <c r="H12" s="31"/>
      <c r="I12" s="94" t="s">
        <v>354</v>
      </c>
      <c r="J12" s="91">
        <f t="shared" si="2"/>
        <v>0.3333333333</v>
      </c>
      <c r="L12" s="31"/>
      <c r="M12" s="94" t="s">
        <v>355</v>
      </c>
      <c r="N12" s="91">
        <f>7/10</f>
        <v>0.7</v>
      </c>
      <c r="P12" s="31"/>
      <c r="Q12" s="10"/>
      <c r="R12" s="10"/>
      <c r="S12" s="12"/>
      <c r="T12" s="13"/>
      <c r="U12" s="7"/>
      <c r="V12" s="7"/>
      <c r="W12" s="7"/>
      <c r="X12" s="7"/>
      <c r="Y12" s="7"/>
    </row>
    <row r="13" ht="15.0" customHeight="1">
      <c r="A13" s="92" t="s">
        <v>356</v>
      </c>
      <c r="B13" s="93">
        <f t="shared" si="3"/>
        <v>0.3333333333</v>
      </c>
      <c r="D13" s="31"/>
      <c r="E13" s="92" t="s">
        <v>357</v>
      </c>
      <c r="F13" s="93">
        <f>4/5</f>
        <v>0.8</v>
      </c>
      <c r="H13" s="31"/>
      <c r="I13" s="92" t="s">
        <v>358</v>
      </c>
      <c r="J13" s="93">
        <f t="shared" si="2"/>
        <v>0.3333333333</v>
      </c>
      <c r="L13" s="31"/>
      <c r="M13" s="92" t="s">
        <v>359</v>
      </c>
      <c r="N13" s="95">
        <v>1.0</v>
      </c>
      <c r="P13" s="31"/>
      <c r="Q13" s="10"/>
      <c r="R13" s="10"/>
      <c r="S13" s="12"/>
      <c r="T13" s="13"/>
      <c r="U13" s="7"/>
      <c r="V13" s="7"/>
      <c r="W13" s="7"/>
      <c r="X13" s="7"/>
      <c r="Y13" s="7"/>
    </row>
    <row r="14" ht="15.0" customHeight="1">
      <c r="A14" s="94" t="s">
        <v>360</v>
      </c>
      <c r="B14" s="90">
        <v>1.0</v>
      </c>
      <c r="D14" s="31"/>
      <c r="E14" s="94" t="s">
        <v>361</v>
      </c>
      <c r="F14" s="91">
        <f>61/100</f>
        <v>0.61</v>
      </c>
      <c r="H14" s="31"/>
      <c r="I14" s="94" t="s">
        <v>362</v>
      </c>
      <c r="J14" s="91">
        <f>2/15</f>
        <v>0.1333333333</v>
      </c>
      <c r="L14" s="31"/>
      <c r="M14" s="94" t="s">
        <v>363</v>
      </c>
      <c r="N14" s="90">
        <v>1.0</v>
      </c>
      <c r="P14" s="31"/>
      <c r="Q14" s="10"/>
      <c r="R14" s="10"/>
      <c r="S14" s="12"/>
      <c r="T14" s="13"/>
      <c r="U14" s="7"/>
      <c r="V14" s="7"/>
      <c r="W14" s="7"/>
      <c r="X14" s="7"/>
      <c r="Y14" s="7"/>
    </row>
    <row r="15" ht="15.0" customHeight="1">
      <c r="A15" s="92" t="s">
        <v>364</v>
      </c>
      <c r="B15" s="93">
        <f>1/3</f>
        <v>0.3333333333</v>
      </c>
      <c r="D15" s="31"/>
      <c r="E15" s="92" t="s">
        <v>365</v>
      </c>
      <c r="F15" s="93">
        <f>4/5</f>
        <v>0.8</v>
      </c>
      <c r="H15" s="31"/>
      <c r="I15" s="92" t="s">
        <v>366</v>
      </c>
      <c r="J15" s="93">
        <f>1/3</f>
        <v>0.3333333333</v>
      </c>
      <c r="L15" s="31"/>
      <c r="M15" s="92" t="s">
        <v>367</v>
      </c>
      <c r="N15" s="95">
        <v>1.0</v>
      </c>
      <c r="P15" s="31"/>
      <c r="Q15" s="10"/>
      <c r="R15" s="10"/>
      <c r="S15" s="12"/>
      <c r="T15" s="13"/>
      <c r="U15" s="7"/>
      <c r="V15" s="7"/>
      <c r="W15" s="7"/>
      <c r="X15" s="7"/>
      <c r="Y15" s="7"/>
    </row>
    <row r="16" ht="15.0" customHeight="1">
      <c r="A16" s="10"/>
      <c r="B16" s="26"/>
      <c r="C16" s="41"/>
      <c r="D16" s="10"/>
      <c r="E16" s="10"/>
      <c r="F16" s="26"/>
      <c r="G16" s="41"/>
      <c r="H16" s="10"/>
      <c r="I16" s="10"/>
      <c r="J16" s="26"/>
      <c r="K16" s="41"/>
      <c r="L16" s="10"/>
      <c r="M16" s="10"/>
      <c r="N16" s="26"/>
      <c r="O16" s="41"/>
      <c r="P16" s="10"/>
      <c r="Q16" s="10"/>
      <c r="R16" s="26"/>
      <c r="S16" s="27"/>
      <c r="T16" s="13"/>
      <c r="U16" s="7"/>
      <c r="V16" s="7"/>
      <c r="W16" s="7"/>
      <c r="X16" s="7"/>
      <c r="Y16" s="7"/>
    </row>
    <row r="17" ht="15.75" customHeight="1">
      <c r="A17" s="28"/>
      <c r="B17" s="29" t="s">
        <v>13</v>
      </c>
      <c r="C17" s="30" t="s">
        <v>368</v>
      </c>
      <c r="D17" s="31"/>
      <c r="E17" s="28"/>
      <c r="F17" s="29" t="s">
        <v>13</v>
      </c>
      <c r="G17" s="30" t="s">
        <v>369</v>
      </c>
      <c r="H17" s="31"/>
      <c r="I17" s="28"/>
      <c r="J17" s="29" t="s">
        <v>13</v>
      </c>
      <c r="K17" s="30" t="s">
        <v>370</v>
      </c>
      <c r="L17" s="31"/>
      <c r="M17" s="28"/>
      <c r="N17" s="29" t="s">
        <v>13</v>
      </c>
      <c r="O17" s="30" t="s">
        <v>371</v>
      </c>
      <c r="P17" s="31"/>
      <c r="Q17" s="28"/>
      <c r="R17" s="29" t="s">
        <v>13</v>
      </c>
      <c r="S17" s="30" t="s">
        <v>372</v>
      </c>
      <c r="T17" s="96"/>
      <c r="U17" s="7"/>
      <c r="V17" s="7"/>
      <c r="W17" s="7"/>
      <c r="X17" s="7"/>
      <c r="Y17" s="7"/>
    </row>
    <row r="18" ht="17.25" customHeight="1">
      <c r="A18" s="87" t="s">
        <v>18</v>
      </c>
      <c r="B18" s="88">
        <f>AVERAGE(B19:B24)</f>
        <v>0.4205555556</v>
      </c>
      <c r="D18" s="31"/>
      <c r="E18" s="87" t="s">
        <v>18</v>
      </c>
      <c r="F18" s="88">
        <f>AVERAGE(F19:F24)</f>
        <v>0.25</v>
      </c>
      <c r="H18" s="31"/>
      <c r="I18" s="87" t="s">
        <v>18</v>
      </c>
      <c r="J18" s="88">
        <f>AVERAGE(J19:J24)</f>
        <v>0.1</v>
      </c>
      <c r="L18" s="31"/>
      <c r="M18" s="87" t="s">
        <v>18</v>
      </c>
      <c r="N18" s="88">
        <f>AVERAGE(N19:N24)</f>
        <v>0.2944444444</v>
      </c>
      <c r="P18" s="31"/>
      <c r="Q18" s="87" t="s">
        <v>18</v>
      </c>
      <c r="R18" s="88">
        <f>AVERAGE(R19:R24)</f>
        <v>0.1</v>
      </c>
      <c r="T18" s="96"/>
      <c r="U18" s="7"/>
      <c r="V18" s="7"/>
      <c r="W18" s="7"/>
      <c r="X18" s="7"/>
      <c r="Y18" s="7"/>
    </row>
    <row r="19" ht="15.0" customHeight="1">
      <c r="A19" s="89" t="s">
        <v>19</v>
      </c>
      <c r="B19" s="91">
        <f>59/100</f>
        <v>0.59</v>
      </c>
      <c r="D19" s="31"/>
      <c r="E19" s="89" t="s">
        <v>19</v>
      </c>
      <c r="F19" s="91">
        <f t="shared" ref="F19:F24" si="4">1/4</f>
        <v>0.25</v>
      </c>
      <c r="H19" s="31"/>
      <c r="I19" s="89" t="s">
        <v>19</v>
      </c>
      <c r="J19" s="91">
        <f t="shared" ref="J19:J24" si="5">1/10</f>
        <v>0.1</v>
      </c>
      <c r="L19" s="31"/>
      <c r="M19" s="89" t="s">
        <v>19</v>
      </c>
      <c r="N19" s="91">
        <f>1/3</f>
        <v>0.3333333333</v>
      </c>
      <c r="P19" s="31"/>
      <c r="Q19" s="89" t="s">
        <v>19</v>
      </c>
      <c r="R19" s="91">
        <f t="shared" ref="R19:R24" si="6">1/10</f>
        <v>0.1</v>
      </c>
      <c r="T19" s="96"/>
      <c r="U19" s="7"/>
      <c r="V19" s="7"/>
      <c r="W19" s="7"/>
      <c r="X19" s="7"/>
      <c r="Y19" s="7"/>
    </row>
    <row r="20" ht="15.0" customHeight="1">
      <c r="A20" s="92" t="s">
        <v>373</v>
      </c>
      <c r="B20" s="93">
        <f t="shared" ref="B20:B23" si="7">1/3</f>
        <v>0.3333333333</v>
      </c>
      <c r="D20" s="31"/>
      <c r="E20" s="92" t="s">
        <v>374</v>
      </c>
      <c r="F20" s="93">
        <f t="shared" si="4"/>
        <v>0.25</v>
      </c>
      <c r="H20" s="31"/>
      <c r="I20" s="92" t="s">
        <v>375</v>
      </c>
      <c r="J20" s="93">
        <f t="shared" si="5"/>
        <v>0.1</v>
      </c>
      <c r="L20" s="31"/>
      <c r="M20" s="92" t="s">
        <v>376</v>
      </c>
      <c r="N20" s="95">
        <v>0.333333333333333</v>
      </c>
      <c r="P20" s="31"/>
      <c r="Q20" s="92" t="s">
        <v>377</v>
      </c>
      <c r="R20" s="93">
        <f t="shared" si="6"/>
        <v>0.1</v>
      </c>
      <c r="T20" s="96"/>
      <c r="U20" s="7"/>
      <c r="V20" s="7"/>
      <c r="W20" s="7"/>
      <c r="X20" s="7"/>
      <c r="Y20" s="7"/>
    </row>
    <row r="21" ht="15.0" customHeight="1">
      <c r="A21" s="94" t="s">
        <v>378</v>
      </c>
      <c r="B21" s="91">
        <f t="shared" si="7"/>
        <v>0.3333333333</v>
      </c>
      <c r="D21" s="31"/>
      <c r="E21" s="94" t="s">
        <v>379</v>
      </c>
      <c r="F21" s="91">
        <f t="shared" si="4"/>
        <v>0.25</v>
      </c>
      <c r="H21" s="31"/>
      <c r="I21" s="94" t="s">
        <v>380</v>
      </c>
      <c r="J21" s="91">
        <f t="shared" si="5"/>
        <v>0.1</v>
      </c>
      <c r="L21" s="31"/>
      <c r="M21" s="94" t="s">
        <v>381</v>
      </c>
      <c r="N21" s="91">
        <f t="shared" ref="N21:N22" si="8">1/3</f>
        <v>0.3333333333</v>
      </c>
      <c r="P21" s="31"/>
      <c r="Q21" s="94" t="s">
        <v>382</v>
      </c>
      <c r="R21" s="91">
        <f t="shared" si="6"/>
        <v>0.1</v>
      </c>
      <c r="T21" s="96"/>
      <c r="U21" s="7"/>
      <c r="V21" s="7"/>
      <c r="W21" s="7"/>
      <c r="X21" s="7"/>
      <c r="Y21" s="7"/>
    </row>
    <row r="22" ht="15.0" customHeight="1">
      <c r="A22" s="92" t="s">
        <v>383</v>
      </c>
      <c r="B22" s="93">
        <f t="shared" si="7"/>
        <v>0.3333333333</v>
      </c>
      <c r="D22" s="31"/>
      <c r="E22" s="92" t="s">
        <v>384</v>
      </c>
      <c r="F22" s="93">
        <f t="shared" si="4"/>
        <v>0.25</v>
      </c>
      <c r="H22" s="31"/>
      <c r="I22" s="92" t="s">
        <v>385</v>
      </c>
      <c r="J22" s="93">
        <f t="shared" si="5"/>
        <v>0.1</v>
      </c>
      <c r="L22" s="31"/>
      <c r="M22" s="92" t="s">
        <v>386</v>
      </c>
      <c r="N22" s="93">
        <f t="shared" si="8"/>
        <v>0.3333333333</v>
      </c>
      <c r="P22" s="31"/>
      <c r="Q22" s="92" t="s">
        <v>387</v>
      </c>
      <c r="R22" s="93">
        <f t="shared" si="6"/>
        <v>0.1</v>
      </c>
      <c r="T22" s="96"/>
      <c r="U22" s="7"/>
      <c r="V22" s="7"/>
      <c r="W22" s="7"/>
      <c r="X22" s="7"/>
      <c r="Y22" s="7"/>
    </row>
    <row r="23" ht="15.0" customHeight="1">
      <c r="A23" s="94" t="s">
        <v>388</v>
      </c>
      <c r="B23" s="91">
        <f t="shared" si="7"/>
        <v>0.3333333333</v>
      </c>
      <c r="D23" s="31"/>
      <c r="E23" s="94" t="s">
        <v>389</v>
      </c>
      <c r="F23" s="91">
        <f t="shared" si="4"/>
        <v>0.25</v>
      </c>
      <c r="H23" s="31"/>
      <c r="I23" s="94" t="s">
        <v>390</v>
      </c>
      <c r="J23" s="91">
        <f t="shared" si="5"/>
        <v>0.1</v>
      </c>
      <c r="L23" s="31"/>
      <c r="M23" s="94" t="s">
        <v>391</v>
      </c>
      <c r="N23" s="91">
        <f>1/10</f>
        <v>0.1</v>
      </c>
      <c r="P23" s="31"/>
      <c r="Q23" s="94" t="s">
        <v>392</v>
      </c>
      <c r="R23" s="91">
        <f t="shared" si="6"/>
        <v>0.1</v>
      </c>
      <c r="T23" s="96"/>
      <c r="U23" s="7"/>
      <c r="V23" s="7"/>
      <c r="W23" s="7"/>
      <c r="X23" s="7"/>
      <c r="Y23" s="7"/>
    </row>
    <row r="24" ht="15.0" customHeight="1">
      <c r="A24" s="92" t="s">
        <v>393</v>
      </c>
      <c r="B24" s="93">
        <f>3/5</f>
        <v>0.6</v>
      </c>
      <c r="D24" s="31"/>
      <c r="E24" s="92" t="s">
        <v>394</v>
      </c>
      <c r="F24" s="93">
        <f t="shared" si="4"/>
        <v>0.25</v>
      </c>
      <c r="H24" s="31"/>
      <c r="I24" s="92" t="s">
        <v>395</v>
      </c>
      <c r="J24" s="93">
        <f t="shared" si="5"/>
        <v>0.1</v>
      </c>
      <c r="L24" s="31"/>
      <c r="M24" s="92" t="s">
        <v>396</v>
      </c>
      <c r="N24" s="93">
        <f>1/3</f>
        <v>0.3333333333</v>
      </c>
      <c r="P24" s="31"/>
      <c r="Q24" s="92" t="s">
        <v>107</v>
      </c>
      <c r="R24" s="93">
        <f t="shared" si="6"/>
        <v>0.1</v>
      </c>
      <c r="T24" s="96"/>
      <c r="U24" s="7"/>
      <c r="V24" s="7"/>
      <c r="W24" s="7"/>
      <c r="X24" s="7"/>
      <c r="Y24" s="7"/>
    </row>
    <row r="25" ht="15.0" customHeight="1">
      <c r="A25" s="71"/>
      <c r="B25" s="26"/>
      <c r="C25" s="41"/>
      <c r="D25" s="10"/>
      <c r="E25" s="71"/>
      <c r="F25" s="26"/>
      <c r="G25" s="41"/>
      <c r="H25" s="10"/>
      <c r="I25" s="71"/>
      <c r="J25" s="26"/>
      <c r="K25" s="41"/>
      <c r="L25" s="10"/>
      <c r="M25" s="71"/>
      <c r="N25" s="26"/>
      <c r="O25" s="41"/>
      <c r="P25" s="10"/>
      <c r="Q25" s="10"/>
      <c r="R25" s="10"/>
      <c r="S25" s="48"/>
      <c r="T25" s="13"/>
      <c r="U25" s="7"/>
      <c r="V25" s="7"/>
      <c r="W25" s="7"/>
      <c r="X25" s="7"/>
      <c r="Y25" s="7"/>
    </row>
    <row r="26" ht="15.75" customHeight="1">
      <c r="A26" s="28"/>
      <c r="B26" s="29" t="s">
        <v>13</v>
      </c>
      <c r="C26" s="30" t="s">
        <v>397</v>
      </c>
      <c r="D26" s="31"/>
      <c r="E26" s="28"/>
      <c r="F26" s="29" t="s">
        <v>13</v>
      </c>
      <c r="G26" s="30" t="s">
        <v>398</v>
      </c>
      <c r="H26" s="31"/>
      <c r="I26" s="28"/>
      <c r="J26" s="29" t="s">
        <v>13</v>
      </c>
      <c r="K26" s="30" t="s">
        <v>399</v>
      </c>
      <c r="L26" s="31"/>
      <c r="M26" s="28"/>
      <c r="N26" s="29" t="s">
        <v>13</v>
      </c>
      <c r="O26" s="30" t="s">
        <v>400</v>
      </c>
      <c r="P26" s="31"/>
      <c r="Q26" s="10"/>
      <c r="R26" s="10"/>
      <c r="S26" s="12"/>
      <c r="T26" s="13"/>
      <c r="U26" s="7"/>
      <c r="V26" s="7"/>
      <c r="W26" s="7"/>
      <c r="X26" s="7"/>
      <c r="Y26" s="7"/>
    </row>
    <row r="27" ht="17.25" customHeight="1">
      <c r="A27" s="87" t="s">
        <v>18</v>
      </c>
      <c r="B27" s="88">
        <f>AVERAGE(B28:B33)</f>
        <v>0.25</v>
      </c>
      <c r="D27" s="31"/>
      <c r="E27" s="87" t="s">
        <v>18</v>
      </c>
      <c r="F27" s="88">
        <f>AVERAGE(F28:F33)</f>
        <v>0.01666666667</v>
      </c>
      <c r="H27" s="31"/>
      <c r="I27" s="87" t="s">
        <v>18</v>
      </c>
      <c r="J27" s="88">
        <f>AVERAGE(J28:J33)</f>
        <v>0.008333333333</v>
      </c>
      <c r="L27" s="31"/>
      <c r="M27" s="87" t="s">
        <v>18</v>
      </c>
      <c r="N27" s="88">
        <f>AVERAGE(N28:N33)</f>
        <v>0</v>
      </c>
      <c r="P27" s="31"/>
      <c r="Q27" s="10"/>
      <c r="R27" s="10"/>
      <c r="S27" s="12"/>
      <c r="T27" s="13"/>
      <c r="U27" s="7"/>
      <c r="V27" s="7"/>
      <c r="W27" s="7"/>
      <c r="X27" s="7"/>
      <c r="Y27" s="7"/>
    </row>
    <row r="28" ht="15.0" customHeight="1">
      <c r="A28" s="89" t="s">
        <v>19</v>
      </c>
      <c r="B28" s="91">
        <f t="shared" ref="B28:B33" si="9">1/4</f>
        <v>0.25</v>
      </c>
      <c r="D28" s="31"/>
      <c r="E28" s="89" t="s">
        <v>19</v>
      </c>
      <c r="F28" s="90">
        <v>0.0</v>
      </c>
      <c r="H28" s="31"/>
      <c r="I28" s="89" t="s">
        <v>19</v>
      </c>
      <c r="J28" s="90">
        <v>0.0</v>
      </c>
      <c r="L28" s="31"/>
      <c r="M28" s="89" t="s">
        <v>19</v>
      </c>
      <c r="N28" s="90">
        <v>0.0</v>
      </c>
      <c r="P28" s="31"/>
      <c r="Q28" s="10"/>
      <c r="R28" s="10"/>
      <c r="S28" s="12"/>
      <c r="T28" s="13"/>
      <c r="U28" s="7"/>
      <c r="V28" s="7"/>
      <c r="W28" s="7"/>
      <c r="X28" s="7"/>
      <c r="Y28" s="7"/>
    </row>
    <row r="29" ht="15.0" customHeight="1">
      <c r="A29" s="92" t="s">
        <v>401</v>
      </c>
      <c r="B29" s="93">
        <f t="shared" si="9"/>
        <v>0.25</v>
      </c>
      <c r="D29" s="31"/>
      <c r="E29" s="92" t="s">
        <v>402</v>
      </c>
      <c r="F29" s="95">
        <v>0.0</v>
      </c>
      <c r="H29" s="31"/>
      <c r="I29" s="92" t="s">
        <v>403</v>
      </c>
      <c r="J29" s="95">
        <v>0.0</v>
      </c>
      <c r="L29" s="31"/>
      <c r="M29" s="92" t="s">
        <v>404</v>
      </c>
      <c r="N29" s="95">
        <v>0.0</v>
      </c>
      <c r="P29" s="31"/>
      <c r="Q29" s="10"/>
      <c r="R29" s="10"/>
      <c r="S29" s="12"/>
      <c r="T29" s="13"/>
      <c r="U29" s="7"/>
      <c r="V29" s="7"/>
      <c r="W29" s="7"/>
      <c r="X29" s="7"/>
      <c r="Y29" s="7"/>
    </row>
    <row r="30" ht="15.0" customHeight="1">
      <c r="A30" s="94" t="s">
        <v>405</v>
      </c>
      <c r="B30" s="91">
        <f t="shared" si="9"/>
        <v>0.25</v>
      </c>
      <c r="D30" s="31"/>
      <c r="E30" s="94" t="s">
        <v>406</v>
      </c>
      <c r="F30" s="90">
        <v>0.0</v>
      </c>
      <c r="H30" s="31"/>
      <c r="I30" s="94" t="s">
        <v>407</v>
      </c>
      <c r="J30" s="90">
        <v>0.0</v>
      </c>
      <c r="L30" s="31"/>
      <c r="M30" s="94" t="s">
        <v>408</v>
      </c>
      <c r="N30" s="90">
        <v>0.0</v>
      </c>
      <c r="P30" s="31"/>
      <c r="Q30" s="10"/>
      <c r="R30" s="10"/>
      <c r="S30" s="12"/>
      <c r="T30" s="13"/>
      <c r="U30" s="7"/>
      <c r="V30" s="7"/>
      <c r="W30" s="7"/>
      <c r="X30" s="7"/>
      <c r="Y30" s="7"/>
    </row>
    <row r="31" ht="15.0" customHeight="1">
      <c r="A31" s="92" t="s">
        <v>409</v>
      </c>
      <c r="B31" s="93">
        <f t="shared" si="9"/>
        <v>0.25</v>
      </c>
      <c r="D31" s="31"/>
      <c r="E31" s="92" t="s">
        <v>410</v>
      </c>
      <c r="F31" s="93">
        <f>1/10</f>
        <v>0.1</v>
      </c>
      <c r="H31" s="31"/>
      <c r="I31" s="92" t="s">
        <v>411</v>
      </c>
      <c r="J31" s="95">
        <v>0.0</v>
      </c>
      <c r="L31" s="31"/>
      <c r="M31" s="92" t="s">
        <v>412</v>
      </c>
      <c r="N31" s="95">
        <v>0.0</v>
      </c>
      <c r="P31" s="31"/>
      <c r="Q31" s="10"/>
      <c r="R31" s="10"/>
      <c r="S31" s="12"/>
      <c r="T31" s="13"/>
      <c r="U31" s="7"/>
      <c r="V31" s="7"/>
      <c r="W31" s="7"/>
      <c r="X31" s="7"/>
      <c r="Y31" s="7"/>
    </row>
    <row r="32" ht="15.0" customHeight="1">
      <c r="A32" s="94" t="s">
        <v>413</v>
      </c>
      <c r="B32" s="91">
        <f t="shared" si="9"/>
        <v>0.25</v>
      </c>
      <c r="D32" s="31"/>
      <c r="E32" s="94" t="s">
        <v>414</v>
      </c>
      <c r="F32" s="90">
        <v>0.0</v>
      </c>
      <c r="H32" s="31"/>
      <c r="I32" s="94" t="s">
        <v>415</v>
      </c>
      <c r="J32" s="91">
        <f>1/20</f>
        <v>0.05</v>
      </c>
      <c r="L32" s="31"/>
      <c r="M32" s="94" t="s">
        <v>416</v>
      </c>
      <c r="N32" s="90">
        <v>0.0</v>
      </c>
      <c r="P32" s="31"/>
      <c r="Q32" s="10"/>
      <c r="R32" s="10"/>
      <c r="S32" s="12"/>
      <c r="T32" s="13"/>
      <c r="U32" s="7"/>
      <c r="V32" s="7"/>
      <c r="W32" s="7"/>
      <c r="X32" s="7"/>
      <c r="Y32" s="7"/>
    </row>
    <row r="33" ht="15.0" customHeight="1">
      <c r="A33" s="92" t="s">
        <v>417</v>
      </c>
      <c r="B33" s="93">
        <f t="shared" si="9"/>
        <v>0.25</v>
      </c>
      <c r="D33" s="31"/>
      <c r="E33" s="92" t="s">
        <v>418</v>
      </c>
      <c r="F33" s="95">
        <v>0.0</v>
      </c>
      <c r="H33" s="31"/>
      <c r="I33" s="92" t="s">
        <v>419</v>
      </c>
      <c r="J33" s="95">
        <v>0.0</v>
      </c>
      <c r="L33" s="31"/>
      <c r="M33" s="92" t="s">
        <v>420</v>
      </c>
      <c r="N33" s="95">
        <v>0.0</v>
      </c>
      <c r="P33" s="31"/>
      <c r="Q33" s="10"/>
      <c r="R33" s="10"/>
      <c r="S33" s="12"/>
      <c r="T33" s="13"/>
      <c r="U33" s="7"/>
      <c r="V33" s="7"/>
      <c r="W33" s="7"/>
      <c r="X33" s="7"/>
      <c r="Y33" s="7"/>
    </row>
    <row r="34" ht="15.0" customHeight="1">
      <c r="A34" s="71"/>
      <c r="B34" s="26"/>
      <c r="C34" s="41"/>
      <c r="D34" s="10"/>
      <c r="E34" s="71"/>
      <c r="F34" s="26"/>
      <c r="G34" s="41"/>
      <c r="H34" s="10"/>
      <c r="I34" s="71"/>
      <c r="J34" s="26"/>
      <c r="K34" s="41"/>
      <c r="L34" s="10"/>
      <c r="M34" s="71"/>
      <c r="N34" s="26"/>
      <c r="O34" s="41"/>
      <c r="P34" s="10"/>
      <c r="Q34" s="10"/>
      <c r="R34" s="10"/>
      <c r="S34" s="12"/>
      <c r="T34" s="13"/>
      <c r="U34" s="7"/>
      <c r="V34" s="7"/>
      <c r="W34" s="7"/>
      <c r="X34" s="7"/>
      <c r="Y34" s="7"/>
    </row>
    <row r="35" ht="15.75" customHeight="1">
      <c r="A35" s="28"/>
      <c r="B35" s="29" t="s">
        <v>13</v>
      </c>
      <c r="C35" s="30" t="s">
        <v>421</v>
      </c>
      <c r="D35" s="31"/>
      <c r="E35" s="28"/>
      <c r="F35" s="29" t="s">
        <v>13</v>
      </c>
      <c r="G35" s="30" t="s">
        <v>422</v>
      </c>
      <c r="H35" s="31"/>
      <c r="I35" s="28"/>
      <c r="J35" s="29" t="s">
        <v>13</v>
      </c>
      <c r="K35" s="30" t="s">
        <v>423</v>
      </c>
      <c r="L35" s="31"/>
      <c r="M35" s="28"/>
      <c r="N35" s="29" t="s">
        <v>13</v>
      </c>
      <c r="O35" s="30" t="s">
        <v>424</v>
      </c>
      <c r="P35" s="97"/>
      <c r="Q35" s="98"/>
      <c r="R35" s="99"/>
      <c r="S35" s="100"/>
      <c r="T35" s="13"/>
      <c r="U35" s="7"/>
      <c r="V35" s="7"/>
      <c r="W35" s="7"/>
      <c r="X35" s="7"/>
      <c r="Y35" s="7"/>
    </row>
    <row r="36" ht="17.25" customHeight="1">
      <c r="A36" s="87" t="s">
        <v>18</v>
      </c>
      <c r="B36" s="88">
        <f>AVERAGE(B37:B42)</f>
        <v>0</v>
      </c>
      <c r="D36" s="31"/>
      <c r="E36" s="87" t="s">
        <v>18</v>
      </c>
      <c r="F36" s="88">
        <f>AVERAGE(F37:F42)</f>
        <v>0.02666666667</v>
      </c>
      <c r="H36" s="31"/>
      <c r="I36" s="87" t="s">
        <v>18</v>
      </c>
      <c r="J36" s="88">
        <f>AVERAGE(J37:J42)</f>
        <v>0.8611111111</v>
      </c>
      <c r="L36" s="31"/>
      <c r="M36" s="87" t="s">
        <v>18</v>
      </c>
      <c r="N36" s="88">
        <f>AVERAGE(N37:N42)</f>
        <v>0.2222222222</v>
      </c>
      <c r="P36" s="101"/>
      <c r="Q36" s="102"/>
      <c r="R36" s="103"/>
      <c r="S36" s="104"/>
      <c r="T36" s="13"/>
      <c r="U36" s="7"/>
      <c r="V36" s="7"/>
      <c r="W36" s="7"/>
      <c r="X36" s="7"/>
      <c r="Y36" s="7"/>
    </row>
    <row r="37" ht="15.0" customHeight="1">
      <c r="A37" s="89" t="s">
        <v>19</v>
      </c>
      <c r="B37" s="90">
        <v>0.0</v>
      </c>
      <c r="D37" s="31"/>
      <c r="E37" s="89" t="s">
        <v>19</v>
      </c>
      <c r="F37" s="90">
        <v>0.0</v>
      </c>
      <c r="H37" s="31"/>
      <c r="I37" s="89" t="s">
        <v>19</v>
      </c>
      <c r="J37" s="91">
        <f>5/6</f>
        <v>0.8333333333</v>
      </c>
      <c r="L37" s="31"/>
      <c r="M37" s="89" t="s">
        <v>19</v>
      </c>
      <c r="N37" s="91">
        <f>1/3</f>
        <v>0.3333333333</v>
      </c>
      <c r="P37" s="101"/>
      <c r="Q37" s="105"/>
      <c r="R37" s="106"/>
      <c r="S37" s="104"/>
      <c r="T37" s="13"/>
      <c r="U37" s="7"/>
      <c r="V37" s="7"/>
      <c r="W37" s="7"/>
      <c r="X37" s="7"/>
      <c r="Y37" s="7"/>
    </row>
    <row r="38" ht="15.0" customHeight="1">
      <c r="A38" s="92" t="s">
        <v>425</v>
      </c>
      <c r="B38" s="95">
        <v>0.0</v>
      </c>
      <c r="D38" s="31"/>
      <c r="E38" s="92" t="s">
        <v>426</v>
      </c>
      <c r="F38" s="93">
        <f>1/10</f>
        <v>0.1</v>
      </c>
      <c r="H38" s="31"/>
      <c r="I38" s="92" t="s">
        <v>427</v>
      </c>
      <c r="J38" s="93">
        <f>1/2</f>
        <v>0.5</v>
      </c>
      <c r="L38" s="31"/>
      <c r="M38" s="92" t="s">
        <v>428</v>
      </c>
      <c r="N38" s="95">
        <v>0.0</v>
      </c>
      <c r="P38" s="101"/>
      <c r="Q38" s="107"/>
      <c r="R38" s="108"/>
      <c r="S38" s="104"/>
      <c r="T38" s="13"/>
      <c r="U38" s="7"/>
      <c r="V38" s="7"/>
      <c r="W38" s="7"/>
      <c r="X38" s="7"/>
      <c r="Y38" s="7"/>
    </row>
    <row r="39" ht="15.0" customHeight="1">
      <c r="A39" s="94" t="s">
        <v>429</v>
      </c>
      <c r="B39" s="90">
        <v>0.0</v>
      </c>
      <c r="D39" s="31"/>
      <c r="E39" s="94" t="s">
        <v>430</v>
      </c>
      <c r="F39" s="91">
        <f>1/50</f>
        <v>0.02</v>
      </c>
      <c r="H39" s="31"/>
      <c r="I39" s="94" t="s">
        <v>431</v>
      </c>
      <c r="J39" s="91">
        <f t="shared" ref="J39:J40" si="10">5/6</f>
        <v>0.8333333333</v>
      </c>
      <c r="L39" s="31"/>
      <c r="M39" s="94" t="s">
        <v>432</v>
      </c>
      <c r="N39" s="91">
        <f t="shared" ref="N39:N41" si="11">1/3</f>
        <v>0.3333333333</v>
      </c>
      <c r="P39" s="101"/>
      <c r="Q39" s="109"/>
      <c r="R39" s="106"/>
      <c r="S39" s="104"/>
      <c r="T39" s="13"/>
      <c r="U39" s="7"/>
      <c r="V39" s="7"/>
      <c r="W39" s="7"/>
      <c r="X39" s="7"/>
      <c r="Y39" s="7"/>
    </row>
    <row r="40" ht="15.0" customHeight="1">
      <c r="A40" s="92" t="s">
        <v>433</v>
      </c>
      <c r="B40" s="95">
        <v>0.0</v>
      </c>
      <c r="D40" s="31"/>
      <c r="E40" s="92" t="s">
        <v>434</v>
      </c>
      <c r="F40" s="95">
        <v>0.0</v>
      </c>
      <c r="H40" s="31"/>
      <c r="I40" s="92" t="s">
        <v>435</v>
      </c>
      <c r="J40" s="93">
        <f t="shared" si="10"/>
        <v>0.8333333333</v>
      </c>
      <c r="L40" s="31"/>
      <c r="M40" s="92" t="s">
        <v>436</v>
      </c>
      <c r="N40" s="93">
        <f t="shared" si="11"/>
        <v>0.3333333333</v>
      </c>
      <c r="P40" s="101"/>
      <c r="Q40" s="107"/>
      <c r="R40" s="108"/>
      <c r="S40" s="104"/>
      <c r="T40" s="13"/>
      <c r="U40" s="7"/>
      <c r="V40" s="7"/>
      <c r="W40" s="7"/>
      <c r="X40" s="7"/>
      <c r="Y40" s="7"/>
    </row>
    <row r="41" ht="15.0" customHeight="1">
      <c r="A41" s="94" t="s">
        <v>414</v>
      </c>
      <c r="B41" s="90">
        <v>0.0</v>
      </c>
      <c r="D41" s="31"/>
      <c r="E41" s="94" t="s">
        <v>437</v>
      </c>
      <c r="F41" s="90">
        <v>0.0</v>
      </c>
      <c r="H41" s="31"/>
      <c r="I41" s="94" t="s">
        <v>438</v>
      </c>
      <c r="J41" s="91">
        <f>1/2</f>
        <v>0.5</v>
      </c>
      <c r="L41" s="31"/>
      <c r="M41" s="94" t="s">
        <v>439</v>
      </c>
      <c r="N41" s="91">
        <f t="shared" si="11"/>
        <v>0.3333333333</v>
      </c>
      <c r="P41" s="101"/>
      <c r="Q41" s="109"/>
      <c r="R41" s="106"/>
      <c r="S41" s="104"/>
      <c r="T41" s="13"/>
      <c r="U41" s="7"/>
      <c r="V41" s="7"/>
      <c r="W41" s="7"/>
      <c r="X41" s="7"/>
      <c r="Y41" s="7"/>
    </row>
    <row r="42" ht="15.0" customHeight="1">
      <c r="A42" s="92" t="s">
        <v>440</v>
      </c>
      <c r="B42" s="95">
        <v>0.0</v>
      </c>
      <c r="D42" s="31"/>
      <c r="E42" s="92" t="s">
        <v>441</v>
      </c>
      <c r="F42" s="93">
        <f>1/25</f>
        <v>0.04</v>
      </c>
      <c r="H42" s="31"/>
      <c r="I42" s="92" t="s">
        <v>442</v>
      </c>
      <c r="J42" s="93">
        <f>5/3</f>
        <v>1.666666667</v>
      </c>
      <c r="L42" s="31"/>
      <c r="M42" s="92" t="s">
        <v>443</v>
      </c>
      <c r="N42" s="95">
        <v>0.0</v>
      </c>
      <c r="P42" s="24"/>
      <c r="Q42" s="107"/>
      <c r="R42" s="108"/>
      <c r="S42" s="110"/>
      <c r="T42" s="13"/>
      <c r="U42" s="7"/>
      <c r="V42" s="7"/>
      <c r="W42" s="7"/>
      <c r="X42" s="7"/>
      <c r="Y42" s="7"/>
    </row>
    <row r="43" ht="15.0" customHeight="1">
      <c r="A43" s="71"/>
      <c r="B43" s="26"/>
      <c r="C43" s="41"/>
      <c r="D43" s="10"/>
      <c r="E43" s="71"/>
      <c r="F43" s="26"/>
      <c r="G43" s="41"/>
      <c r="H43" s="10"/>
      <c r="I43" s="71"/>
      <c r="J43" s="26"/>
      <c r="K43" s="41"/>
      <c r="L43" s="10"/>
      <c r="M43" s="71"/>
      <c r="N43" s="10"/>
      <c r="O43" s="51"/>
      <c r="P43" s="10"/>
      <c r="Q43" s="10"/>
      <c r="R43" s="10"/>
      <c r="S43" s="12"/>
      <c r="T43" s="13"/>
      <c r="U43" s="7"/>
      <c r="V43" s="7"/>
      <c r="W43" s="7"/>
      <c r="X43" s="7"/>
      <c r="Y43" s="7"/>
    </row>
    <row r="44" ht="15.75" customHeight="1">
      <c r="A44" s="28"/>
      <c r="B44" s="29" t="s">
        <v>13</v>
      </c>
      <c r="C44" s="30" t="s">
        <v>444</v>
      </c>
      <c r="D44" s="31"/>
      <c r="E44" s="28"/>
      <c r="F44" s="29" t="s">
        <v>13</v>
      </c>
      <c r="G44" s="30" t="s">
        <v>445</v>
      </c>
      <c r="H44" s="31"/>
      <c r="I44" s="28"/>
      <c r="J44" s="29" t="s">
        <v>13</v>
      </c>
      <c r="K44" s="30" t="s">
        <v>446</v>
      </c>
      <c r="L44" s="31"/>
      <c r="M44" s="98"/>
      <c r="N44" s="99"/>
      <c r="O44" s="111"/>
      <c r="P44" s="10"/>
      <c r="Q44" s="98"/>
      <c r="R44" s="99"/>
      <c r="S44" s="100"/>
      <c r="T44" s="13"/>
      <c r="U44" s="7"/>
      <c r="V44" s="7"/>
      <c r="W44" s="7"/>
      <c r="X44" s="7"/>
      <c r="Y44" s="7"/>
    </row>
    <row r="45" ht="17.25" customHeight="1">
      <c r="A45" s="87" t="s">
        <v>18</v>
      </c>
      <c r="B45" s="88">
        <f>AVERAGE(B46:B51)</f>
        <v>0</v>
      </c>
      <c r="D45" s="31"/>
      <c r="E45" s="87" t="s">
        <v>18</v>
      </c>
      <c r="F45" s="88">
        <f>AVERAGE(F46:F51)</f>
        <v>0</v>
      </c>
      <c r="H45" s="31"/>
      <c r="I45" s="87" t="s">
        <v>18</v>
      </c>
      <c r="J45" s="88">
        <f>AVERAGE(J46:J51)</f>
        <v>0</v>
      </c>
      <c r="L45" s="31"/>
      <c r="M45" s="102"/>
      <c r="N45" s="103"/>
      <c r="O45" s="104"/>
      <c r="P45" s="10"/>
      <c r="Q45" s="102"/>
      <c r="R45" s="103"/>
      <c r="S45" s="104"/>
      <c r="T45" s="13"/>
      <c r="U45" s="7"/>
      <c r="V45" s="7"/>
      <c r="W45" s="7"/>
      <c r="X45" s="7"/>
      <c r="Y45" s="7"/>
    </row>
    <row r="46" ht="15.0" customHeight="1">
      <c r="A46" s="89" t="s">
        <v>19</v>
      </c>
      <c r="B46" s="90">
        <v>0.0</v>
      </c>
      <c r="D46" s="31"/>
      <c r="E46" s="89" t="s">
        <v>19</v>
      </c>
      <c r="F46" s="90">
        <v>0.0</v>
      </c>
      <c r="H46" s="31"/>
      <c r="I46" s="89" t="s">
        <v>19</v>
      </c>
      <c r="J46" s="90">
        <v>0.0</v>
      </c>
      <c r="L46" s="31"/>
      <c r="M46" s="105"/>
      <c r="N46" s="106"/>
      <c r="O46" s="104"/>
      <c r="P46" s="10"/>
      <c r="Q46" s="105"/>
      <c r="R46" s="106"/>
      <c r="S46" s="104"/>
      <c r="T46" s="13"/>
      <c r="U46" s="7"/>
      <c r="V46" s="7"/>
      <c r="W46" s="7"/>
      <c r="X46" s="7"/>
      <c r="Y46" s="7"/>
    </row>
    <row r="47" ht="15.0" customHeight="1">
      <c r="A47" s="92" t="s">
        <v>447</v>
      </c>
      <c r="B47" s="95">
        <v>0.0</v>
      </c>
      <c r="D47" s="31"/>
      <c r="E47" s="92" t="s">
        <v>448</v>
      </c>
      <c r="F47" s="95">
        <v>0.0</v>
      </c>
      <c r="H47" s="31"/>
      <c r="I47" s="92" t="s">
        <v>449</v>
      </c>
      <c r="J47" s="95">
        <v>0.0</v>
      </c>
      <c r="L47" s="31"/>
      <c r="M47" s="107"/>
      <c r="N47" s="108"/>
      <c r="O47" s="104"/>
      <c r="P47" s="10"/>
      <c r="Q47" s="107"/>
      <c r="R47" s="108"/>
      <c r="S47" s="104"/>
      <c r="T47" s="13"/>
      <c r="U47" s="7"/>
      <c r="V47" s="7"/>
      <c r="W47" s="7"/>
      <c r="X47" s="7"/>
      <c r="Y47" s="7"/>
    </row>
    <row r="48" ht="15.0" customHeight="1">
      <c r="A48" s="94" t="s">
        <v>450</v>
      </c>
      <c r="B48" s="90">
        <v>0.0</v>
      </c>
      <c r="D48" s="31"/>
      <c r="E48" s="94" t="s">
        <v>451</v>
      </c>
      <c r="F48" s="90">
        <v>0.0</v>
      </c>
      <c r="H48" s="31"/>
      <c r="I48" s="94" t="s">
        <v>452</v>
      </c>
      <c r="J48" s="90">
        <v>0.0</v>
      </c>
      <c r="L48" s="31"/>
      <c r="M48" s="109"/>
      <c r="N48" s="106"/>
      <c r="O48" s="104"/>
      <c r="P48" s="10"/>
      <c r="Q48" s="109"/>
      <c r="R48" s="106"/>
      <c r="S48" s="104"/>
      <c r="T48" s="13"/>
      <c r="U48" s="7"/>
      <c r="V48" s="7"/>
      <c r="W48" s="7"/>
      <c r="X48" s="7"/>
      <c r="Y48" s="7"/>
    </row>
    <row r="49" ht="15.0" customHeight="1">
      <c r="A49" s="92" t="s">
        <v>453</v>
      </c>
      <c r="B49" s="95">
        <v>0.0</v>
      </c>
      <c r="D49" s="31"/>
      <c r="E49" s="92" t="s">
        <v>454</v>
      </c>
      <c r="F49" s="95">
        <v>0.0</v>
      </c>
      <c r="H49" s="31"/>
      <c r="I49" s="92" t="s">
        <v>455</v>
      </c>
      <c r="J49" s="95">
        <v>0.0</v>
      </c>
      <c r="L49" s="31"/>
      <c r="M49" s="107"/>
      <c r="N49" s="108"/>
      <c r="O49" s="104"/>
      <c r="P49" s="10"/>
      <c r="Q49" s="107"/>
      <c r="R49" s="108"/>
      <c r="S49" s="104"/>
      <c r="T49" s="13"/>
      <c r="U49" s="7"/>
      <c r="V49" s="7"/>
      <c r="W49" s="7"/>
      <c r="X49" s="7"/>
      <c r="Y49" s="7"/>
    </row>
    <row r="50" ht="15.0" customHeight="1">
      <c r="A50" s="94" t="s">
        <v>456</v>
      </c>
      <c r="B50" s="90">
        <v>0.0</v>
      </c>
      <c r="D50" s="31"/>
      <c r="E50" s="94" t="s">
        <v>457</v>
      </c>
      <c r="F50" s="90">
        <v>0.0</v>
      </c>
      <c r="H50" s="31"/>
      <c r="I50" s="94" t="s">
        <v>458</v>
      </c>
      <c r="J50" s="90">
        <v>0.0</v>
      </c>
      <c r="L50" s="31"/>
      <c r="M50" s="109"/>
      <c r="N50" s="106"/>
      <c r="O50" s="104"/>
      <c r="P50" s="10"/>
      <c r="Q50" s="109"/>
      <c r="R50" s="106"/>
      <c r="S50" s="104"/>
      <c r="T50" s="13"/>
      <c r="U50" s="7"/>
      <c r="V50" s="7"/>
      <c r="W50" s="7"/>
      <c r="X50" s="7"/>
      <c r="Y50" s="7"/>
    </row>
    <row r="51" ht="15.0" customHeight="1">
      <c r="A51" s="92" t="s">
        <v>459</v>
      </c>
      <c r="B51" s="95">
        <v>0.0</v>
      </c>
      <c r="D51" s="31"/>
      <c r="E51" s="92" t="s">
        <v>460</v>
      </c>
      <c r="F51" s="95">
        <v>0.0</v>
      </c>
      <c r="H51" s="31"/>
      <c r="I51" s="92" t="s">
        <v>461</v>
      </c>
      <c r="J51" s="95">
        <v>0.0</v>
      </c>
      <c r="L51" s="31"/>
      <c r="M51" s="107"/>
      <c r="N51" s="108"/>
      <c r="O51" s="110"/>
      <c r="P51" s="10"/>
      <c r="Q51" s="107"/>
      <c r="R51" s="108"/>
      <c r="S51" s="110"/>
      <c r="T51" s="13"/>
      <c r="U51" s="7"/>
      <c r="V51" s="7"/>
      <c r="W51" s="7"/>
      <c r="X51" s="7"/>
      <c r="Y51" s="7"/>
    </row>
    <row r="52" ht="15.0" customHeight="1">
      <c r="A52" s="71"/>
      <c r="B52" s="26"/>
      <c r="C52" s="41"/>
      <c r="D52" s="26"/>
      <c r="E52" s="71"/>
      <c r="F52" s="26"/>
      <c r="G52" s="41"/>
      <c r="H52" s="10"/>
      <c r="I52" s="71"/>
      <c r="J52" s="26"/>
      <c r="K52" s="41"/>
      <c r="L52" s="10"/>
      <c r="M52" s="71"/>
      <c r="N52" s="26"/>
      <c r="O52" s="26"/>
      <c r="P52" s="10"/>
      <c r="Q52" s="10"/>
      <c r="R52" s="10"/>
      <c r="S52" s="12"/>
      <c r="T52" s="13"/>
      <c r="U52" s="7"/>
      <c r="V52" s="7"/>
      <c r="W52" s="7"/>
      <c r="X52" s="7"/>
      <c r="Y52" s="7"/>
    </row>
    <row r="53" ht="15.75" customHeight="1">
      <c r="A53" s="28"/>
      <c r="B53" s="29" t="s">
        <v>13</v>
      </c>
      <c r="C53" s="112" t="s">
        <v>462</v>
      </c>
      <c r="D53" s="30" t="s">
        <v>463</v>
      </c>
      <c r="E53" s="113"/>
      <c r="F53" s="29" t="s">
        <v>13</v>
      </c>
      <c r="G53" s="30" t="s">
        <v>464</v>
      </c>
      <c r="H53" s="31"/>
      <c r="I53" s="28"/>
      <c r="J53" s="29" t="s">
        <v>13</v>
      </c>
      <c r="K53" s="30" t="s">
        <v>465</v>
      </c>
      <c r="L53" s="31"/>
      <c r="M53" s="28"/>
      <c r="N53" s="29" t="s">
        <v>13</v>
      </c>
      <c r="O53" s="30" t="s">
        <v>466</v>
      </c>
      <c r="P53" s="31"/>
      <c r="Q53" s="10"/>
      <c r="R53" s="10"/>
      <c r="S53" s="12"/>
      <c r="T53" s="13"/>
      <c r="U53" s="7"/>
      <c r="V53" s="7"/>
      <c r="W53" s="7"/>
      <c r="X53" s="7"/>
      <c r="Y53" s="7"/>
    </row>
    <row r="54" ht="17.25" customHeight="1">
      <c r="A54" s="87" t="s">
        <v>18</v>
      </c>
      <c r="B54" s="114">
        <f t="shared" ref="B54:C54" si="12">AVERAGE(B55:B60)</f>
        <v>0.75</v>
      </c>
      <c r="C54" s="115">
        <f t="shared" si="12"/>
        <v>0.03222222222</v>
      </c>
      <c r="E54" s="116" t="s">
        <v>18</v>
      </c>
      <c r="F54" s="88">
        <f>AVERAGE(F55:F60)</f>
        <v>0.25</v>
      </c>
      <c r="H54" s="31"/>
      <c r="I54" s="87" t="s">
        <v>18</v>
      </c>
      <c r="J54" s="88">
        <f>AVERAGE(J55:J60)</f>
        <v>0.1222222222</v>
      </c>
      <c r="L54" s="31"/>
      <c r="M54" s="87" t="s">
        <v>18</v>
      </c>
      <c r="N54" s="88">
        <f>AVERAGE(N55:N60)</f>
        <v>0.5666666667</v>
      </c>
      <c r="P54" s="31"/>
      <c r="Q54" s="10"/>
      <c r="R54" s="10"/>
      <c r="S54" s="12"/>
      <c r="T54" s="13"/>
      <c r="U54" s="7"/>
      <c r="V54" s="7"/>
      <c r="W54" s="7"/>
      <c r="X54" s="7"/>
      <c r="Y54" s="7"/>
    </row>
    <row r="55" ht="15.0" customHeight="1">
      <c r="A55" s="89" t="s">
        <v>19</v>
      </c>
      <c r="B55" s="117">
        <v>1.0</v>
      </c>
      <c r="C55" s="118"/>
      <c r="E55" s="119" t="s">
        <v>19</v>
      </c>
      <c r="F55" s="91">
        <f t="shared" ref="F55:F60" si="13">1/4</f>
        <v>0.25</v>
      </c>
      <c r="H55" s="31"/>
      <c r="I55" s="89" t="s">
        <v>19</v>
      </c>
      <c r="J55" s="91">
        <f t="shared" ref="J55:J57" si="14">1/20</f>
        <v>0.05</v>
      </c>
      <c r="L55" s="31"/>
      <c r="M55" s="89" t="s">
        <v>19</v>
      </c>
      <c r="N55" s="91">
        <f t="shared" ref="N55:N58" si="15">12/25</f>
        <v>0.48</v>
      </c>
      <c r="P55" s="31"/>
      <c r="Q55" s="10"/>
      <c r="R55" s="10"/>
      <c r="S55" s="12"/>
      <c r="T55" s="13"/>
      <c r="U55" s="7"/>
      <c r="V55" s="7"/>
      <c r="W55" s="7"/>
      <c r="X55" s="7"/>
      <c r="Y55" s="7"/>
    </row>
    <row r="56" ht="15.0" customHeight="1">
      <c r="A56" s="92" t="s">
        <v>467</v>
      </c>
      <c r="B56" s="120">
        <f t="shared" ref="B56:B57" si="16">1/2</f>
        <v>0.5</v>
      </c>
      <c r="C56" s="93">
        <f>1/150</f>
        <v>0.006666666667</v>
      </c>
      <c r="E56" s="121" t="s">
        <v>468</v>
      </c>
      <c r="F56" s="93">
        <f t="shared" si="13"/>
        <v>0.25</v>
      </c>
      <c r="H56" s="31"/>
      <c r="I56" s="92" t="s">
        <v>469</v>
      </c>
      <c r="J56" s="93">
        <f t="shared" si="14"/>
        <v>0.05</v>
      </c>
      <c r="L56" s="31"/>
      <c r="M56" s="92" t="s">
        <v>470</v>
      </c>
      <c r="N56" s="93">
        <f t="shared" si="15"/>
        <v>0.48</v>
      </c>
      <c r="P56" s="31"/>
      <c r="Q56" s="10"/>
      <c r="R56" s="10"/>
      <c r="S56" s="12"/>
      <c r="T56" s="13"/>
      <c r="U56" s="7"/>
      <c r="V56" s="7"/>
      <c r="W56" s="7"/>
      <c r="X56" s="7"/>
      <c r="Y56" s="7"/>
    </row>
    <row r="57" ht="15.0" customHeight="1">
      <c r="A57" s="94" t="s">
        <v>471</v>
      </c>
      <c r="B57" s="122">
        <f t="shared" si="16"/>
        <v>0.5</v>
      </c>
      <c r="C57" s="91">
        <f>1/12</f>
        <v>0.08333333333</v>
      </c>
      <c r="E57" s="123" t="s">
        <v>472</v>
      </c>
      <c r="F57" s="91">
        <f t="shared" si="13"/>
        <v>0.25</v>
      </c>
      <c r="H57" s="31"/>
      <c r="I57" s="94" t="s">
        <v>473</v>
      </c>
      <c r="J57" s="91">
        <f t="shared" si="14"/>
        <v>0.05</v>
      </c>
      <c r="L57" s="31"/>
      <c r="M57" s="94" t="s">
        <v>474</v>
      </c>
      <c r="N57" s="91">
        <f t="shared" si="15"/>
        <v>0.48</v>
      </c>
      <c r="P57" s="31"/>
      <c r="Q57" s="10"/>
      <c r="R57" s="10"/>
      <c r="S57" s="12"/>
      <c r="T57" s="13"/>
      <c r="U57" s="7"/>
      <c r="V57" s="7"/>
      <c r="W57" s="7"/>
      <c r="X57" s="7"/>
      <c r="Y57" s="7"/>
    </row>
    <row r="58" ht="15.0" customHeight="1">
      <c r="A58" s="92" t="s">
        <v>475</v>
      </c>
      <c r="B58" s="124">
        <v>1.0</v>
      </c>
      <c r="C58" s="125"/>
      <c r="E58" s="121" t="s">
        <v>476</v>
      </c>
      <c r="F58" s="93">
        <f t="shared" si="13"/>
        <v>0.25</v>
      </c>
      <c r="H58" s="31"/>
      <c r="I58" s="92" t="s">
        <v>477</v>
      </c>
      <c r="J58" s="93">
        <f>1/30</f>
        <v>0.03333333333</v>
      </c>
      <c r="L58" s="31"/>
      <c r="M58" s="92" t="s">
        <v>478</v>
      </c>
      <c r="N58" s="93">
        <f t="shared" si="15"/>
        <v>0.48</v>
      </c>
      <c r="P58" s="31"/>
      <c r="Q58" s="10"/>
      <c r="R58" s="10"/>
      <c r="S58" s="12"/>
      <c r="T58" s="13"/>
      <c r="U58" s="7"/>
      <c r="V58" s="7"/>
      <c r="W58" s="7"/>
      <c r="X58" s="7"/>
      <c r="Y58" s="7"/>
    </row>
    <row r="59" ht="15.0" customHeight="1">
      <c r="A59" s="94" t="s">
        <v>479</v>
      </c>
      <c r="B59" s="117">
        <v>1.0</v>
      </c>
      <c r="C59" s="118"/>
      <c r="E59" s="123" t="s">
        <v>480</v>
      </c>
      <c r="F59" s="91">
        <f t="shared" si="13"/>
        <v>0.25</v>
      </c>
      <c r="H59" s="31"/>
      <c r="I59" s="94" t="s">
        <v>481</v>
      </c>
      <c r="J59" s="91">
        <f>1/20</f>
        <v>0.05</v>
      </c>
      <c r="L59" s="31"/>
      <c r="M59" s="94" t="s">
        <v>482</v>
      </c>
      <c r="N59" s="90">
        <v>1.0</v>
      </c>
      <c r="P59" s="31"/>
      <c r="Q59" s="10"/>
      <c r="R59" s="10"/>
      <c r="S59" s="12"/>
      <c r="T59" s="13"/>
      <c r="U59" s="7"/>
      <c r="V59" s="7"/>
      <c r="W59" s="7"/>
      <c r="X59" s="7"/>
      <c r="Y59" s="7"/>
    </row>
    <row r="60" ht="15.0" customHeight="1">
      <c r="A60" s="92" t="s">
        <v>483</v>
      </c>
      <c r="B60" s="120">
        <f>1/2</f>
        <v>0.5</v>
      </c>
      <c r="C60" s="93">
        <f>1/150</f>
        <v>0.006666666667</v>
      </c>
      <c r="E60" s="126" t="s">
        <v>484</v>
      </c>
      <c r="F60" s="127">
        <f t="shared" si="13"/>
        <v>0.25</v>
      </c>
      <c r="H60" s="31"/>
      <c r="I60" s="128" t="s">
        <v>485</v>
      </c>
      <c r="J60" s="127">
        <f>1/2</f>
        <v>0.5</v>
      </c>
      <c r="L60" s="31"/>
      <c r="M60" s="128" t="s">
        <v>486</v>
      </c>
      <c r="N60" s="127">
        <f>12/25</f>
        <v>0.48</v>
      </c>
      <c r="P60" s="31"/>
      <c r="Q60" s="10"/>
      <c r="R60" s="10"/>
      <c r="S60" s="12"/>
      <c r="T60" s="13"/>
      <c r="U60" s="7"/>
      <c r="V60" s="7"/>
      <c r="W60" s="7"/>
      <c r="X60" s="7"/>
      <c r="Y60" s="7"/>
    </row>
    <row r="61" ht="15.0" customHeight="1">
      <c r="A61" s="12"/>
      <c r="B61" s="12"/>
      <c r="C61" s="12"/>
      <c r="D61" s="48"/>
      <c r="E61" s="48"/>
      <c r="F61" s="48"/>
      <c r="G61" s="48"/>
      <c r="H61" s="12"/>
      <c r="I61" s="48"/>
      <c r="J61" s="48"/>
      <c r="K61" s="48"/>
      <c r="L61" s="12"/>
      <c r="M61" s="48"/>
      <c r="N61" s="48"/>
      <c r="O61" s="48"/>
      <c r="P61" s="12"/>
      <c r="Q61" s="12"/>
      <c r="R61" s="12"/>
      <c r="S61" s="12"/>
      <c r="T61" s="13"/>
      <c r="U61" s="7"/>
      <c r="V61" s="7"/>
      <c r="W61" s="7"/>
      <c r="X61" s="7"/>
      <c r="Y61" s="7"/>
    </row>
    <row r="62" ht="15.0" customHeight="1">
      <c r="A62" s="27"/>
      <c r="B62" s="27"/>
      <c r="C62" s="27"/>
      <c r="D62" s="27"/>
      <c r="E62" s="27"/>
      <c r="F62" s="27"/>
      <c r="G62" s="27"/>
      <c r="H62" s="27"/>
      <c r="I62" s="27"/>
      <c r="J62" s="27"/>
      <c r="K62" s="27"/>
      <c r="L62" s="27"/>
      <c r="M62" s="27"/>
      <c r="N62" s="27"/>
      <c r="O62" s="27"/>
      <c r="P62" s="27"/>
      <c r="Q62" s="27"/>
      <c r="R62" s="27"/>
      <c r="S62" s="27"/>
      <c r="T62" s="52"/>
      <c r="U62" s="17"/>
      <c r="V62" s="17"/>
      <c r="W62" s="17"/>
      <c r="X62" s="17"/>
      <c r="Y62" s="17"/>
    </row>
    <row r="63" ht="17.25" customHeight="1">
      <c r="A63" s="129" t="s">
        <v>487</v>
      </c>
    </row>
    <row r="64" ht="15.0" customHeight="1">
      <c r="A64" s="53" t="s">
        <v>488</v>
      </c>
    </row>
    <row r="65" ht="15.0" customHeight="1">
      <c r="A65" s="53" t="s">
        <v>489</v>
      </c>
    </row>
    <row r="66" ht="15.0" customHeight="1">
      <c r="A66" s="54"/>
    </row>
  </sheetData>
  <mergeCells count="40">
    <mergeCell ref="A1:Y1"/>
    <mergeCell ref="A2:Y2"/>
    <mergeCell ref="A3:T3"/>
    <mergeCell ref="B4:F4"/>
    <mergeCell ref="G4:I4"/>
    <mergeCell ref="B5:F5"/>
    <mergeCell ref="G5:J6"/>
    <mergeCell ref="G17:G24"/>
    <mergeCell ref="G26:G33"/>
    <mergeCell ref="G35:G42"/>
    <mergeCell ref="G44:G51"/>
    <mergeCell ref="G53:G60"/>
    <mergeCell ref="C26:C33"/>
    <mergeCell ref="C35:C42"/>
    <mergeCell ref="C44:C51"/>
    <mergeCell ref="D53:D60"/>
    <mergeCell ref="K35:K42"/>
    <mergeCell ref="K44:K51"/>
    <mergeCell ref="K53:K60"/>
    <mergeCell ref="A63:T63"/>
    <mergeCell ref="A64:T64"/>
    <mergeCell ref="A65:T65"/>
    <mergeCell ref="A66:T66"/>
    <mergeCell ref="B6:F6"/>
    <mergeCell ref="C8:C15"/>
    <mergeCell ref="G8:G15"/>
    <mergeCell ref="K8:K15"/>
    <mergeCell ref="C17:C24"/>
    <mergeCell ref="K17:K24"/>
    <mergeCell ref="K26:K33"/>
    <mergeCell ref="S35:S42"/>
    <mergeCell ref="S44:S51"/>
    <mergeCell ref="O8:O15"/>
    <mergeCell ref="O17:O24"/>
    <mergeCell ref="S17:S24"/>
    <mergeCell ref="O26:O33"/>
    <mergeCell ref="O35:O42"/>
    <mergeCell ref="P35:P42"/>
    <mergeCell ref="O44:O51"/>
    <mergeCell ref="O53:O60"/>
  </mergeCells>
  <hyperlinks>
    <hyperlink r:id="rId1" ref="G5"/>
    <hyperlink r:id="rId2" ref="M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88"/>
    <col customWidth="1" min="2" max="5" width="8.75"/>
    <col customWidth="1" min="6" max="6" width="19.38"/>
    <col customWidth="1" min="7" max="10" width="8.75"/>
    <col customWidth="1" min="11" max="11" width="23.13"/>
    <col customWidth="1" min="12" max="15" width="8.75"/>
    <col customWidth="1" min="16" max="16" width="23.63"/>
    <col customWidth="1" min="17" max="20" width="8.75"/>
    <col customWidth="1" min="21" max="21" width="21.38"/>
    <col customWidth="1" min="22" max="25" width="8.75"/>
  </cols>
  <sheetData>
    <row r="1" ht="113.25" customHeight="1">
      <c r="A1" s="66" t="str">
        <f>Barb!A1</f>
        <v>- OUTDATED -
</v>
      </c>
    </row>
    <row r="2" ht="21.7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1.75" customHeight="1">
      <c r="A3" s="4"/>
      <c r="B3" s="4"/>
      <c r="C3" s="4"/>
      <c r="D3" s="4"/>
      <c r="E3" s="4"/>
      <c r="F3" s="4"/>
      <c r="G3" s="4"/>
      <c r="H3" s="4"/>
      <c r="I3" s="4"/>
      <c r="J3" s="4"/>
      <c r="K3" s="4"/>
      <c r="L3" s="4"/>
      <c r="M3" s="4"/>
      <c r="N3" s="4"/>
      <c r="O3" s="4"/>
      <c r="P3" s="4"/>
      <c r="Q3" s="4"/>
      <c r="R3" s="4"/>
      <c r="S3" s="4"/>
      <c r="T3" s="4"/>
      <c r="U3" s="4"/>
      <c r="V3" s="4"/>
      <c r="W3" s="4"/>
      <c r="X3" s="4"/>
      <c r="Y3" s="4"/>
    </row>
    <row r="4" ht="21.75" customHeight="1">
      <c r="A4" s="68" t="str">
        <f>Crusader!A4</f>
        <v>100% tested (2.0.6)</v>
      </c>
      <c r="B4" s="69" t="s">
        <v>3</v>
      </c>
      <c r="C4" s="7"/>
      <c r="D4" s="7"/>
      <c r="E4" s="7"/>
      <c r="F4" s="8"/>
      <c r="G4" s="70" t="str">
        <f>Crusader!G4</f>
        <v>Downloadable Sheet:</v>
      </c>
      <c r="H4" s="7"/>
      <c r="I4" s="8"/>
      <c r="J4" s="71"/>
      <c r="K4" s="12"/>
      <c r="L4" s="10"/>
      <c r="M4" s="10"/>
      <c r="N4" s="10"/>
      <c r="O4" s="10"/>
      <c r="P4" s="10"/>
      <c r="Q4" s="10"/>
      <c r="R4" s="10"/>
      <c r="S4" s="12"/>
      <c r="T4" s="12"/>
      <c r="U4" s="12"/>
      <c r="V4" s="12"/>
      <c r="W4" s="12"/>
      <c r="X4" s="12"/>
      <c r="Y4" s="12"/>
    </row>
    <row r="5" ht="15.75" customHeight="1">
      <c r="A5" s="72" t="str">
        <f>Crusader!A5</f>
        <v>Updated: 7/10/14</v>
      </c>
      <c r="B5" s="73" t="s">
        <v>336</v>
      </c>
      <c r="C5" s="7"/>
      <c r="D5" s="7"/>
      <c r="E5" s="7"/>
      <c r="F5" s="8"/>
      <c r="G5" s="74" t="s">
        <v>8</v>
      </c>
      <c r="H5" s="17"/>
      <c r="I5" s="17"/>
      <c r="J5" s="17"/>
      <c r="K5" s="18"/>
      <c r="L5" s="10"/>
      <c r="M5" s="10"/>
      <c r="N5" s="10"/>
      <c r="O5" s="10"/>
      <c r="P5" s="10"/>
      <c r="Q5" s="10"/>
      <c r="R5" s="10"/>
      <c r="S5" s="12"/>
      <c r="T5" s="12"/>
      <c r="U5" s="12"/>
      <c r="V5" s="12"/>
      <c r="W5" s="12"/>
      <c r="X5" s="12"/>
      <c r="Y5" s="12"/>
    </row>
    <row r="6" ht="30.0" customHeight="1">
      <c r="A6" s="75" t="s">
        <v>337</v>
      </c>
      <c r="B6" s="86" t="s">
        <v>344</v>
      </c>
      <c r="C6" s="7"/>
      <c r="D6" s="7"/>
      <c r="E6" s="7"/>
      <c r="F6" s="8"/>
      <c r="G6" s="23"/>
      <c r="H6" s="4"/>
      <c r="I6" s="4"/>
      <c r="J6" s="4"/>
      <c r="K6" s="24"/>
      <c r="L6" s="10"/>
      <c r="M6" s="10"/>
      <c r="N6" s="10"/>
      <c r="O6" s="10"/>
      <c r="P6" s="10"/>
      <c r="Q6" s="10"/>
      <c r="R6" s="10"/>
      <c r="S6" s="12"/>
      <c r="T6" s="12"/>
      <c r="U6" s="12"/>
      <c r="V6" s="12"/>
      <c r="W6" s="12"/>
      <c r="X6" s="12"/>
      <c r="Y6" s="12"/>
    </row>
    <row r="7" ht="15.0" customHeight="1">
      <c r="A7" s="10"/>
      <c r="B7" s="26"/>
      <c r="C7" s="26"/>
      <c r="D7" s="26"/>
      <c r="E7" s="10"/>
      <c r="F7" s="10"/>
      <c r="G7" s="26"/>
      <c r="H7" s="26"/>
      <c r="I7" s="26"/>
      <c r="J7" s="10"/>
      <c r="K7" s="10"/>
      <c r="L7" s="26"/>
      <c r="M7" s="26"/>
      <c r="N7" s="26"/>
      <c r="O7" s="10"/>
      <c r="P7" s="10"/>
      <c r="Q7" s="26"/>
      <c r="R7" s="26"/>
      <c r="S7" s="27"/>
      <c r="T7" s="12"/>
      <c r="U7" s="12"/>
      <c r="V7" s="12"/>
      <c r="W7" s="12"/>
      <c r="X7" s="12"/>
      <c r="Y7" s="12"/>
    </row>
    <row r="8" ht="15.0" customHeight="1">
      <c r="A8" s="28"/>
      <c r="B8" s="29" t="s">
        <v>338</v>
      </c>
      <c r="C8" s="29" t="s">
        <v>339</v>
      </c>
      <c r="D8" s="30" t="s">
        <v>28</v>
      </c>
      <c r="E8" s="31"/>
      <c r="F8" s="28"/>
      <c r="G8" s="29" t="s">
        <v>338</v>
      </c>
      <c r="H8" s="29" t="s">
        <v>339</v>
      </c>
      <c r="I8" s="30" t="s">
        <v>346</v>
      </c>
      <c r="J8" s="31"/>
      <c r="K8" s="28"/>
      <c r="L8" s="29" t="s">
        <v>338</v>
      </c>
      <c r="M8" s="29" t="s">
        <v>339</v>
      </c>
      <c r="N8" s="30" t="s">
        <v>34</v>
      </c>
      <c r="O8" s="31"/>
      <c r="P8" s="28"/>
      <c r="Q8" s="29" t="s">
        <v>338</v>
      </c>
      <c r="R8" s="29" t="s">
        <v>339</v>
      </c>
      <c r="S8" s="30" t="s">
        <v>347</v>
      </c>
      <c r="T8" s="21"/>
      <c r="U8" s="12"/>
      <c r="V8" s="12"/>
      <c r="W8" s="12"/>
      <c r="X8" s="12"/>
      <c r="Y8" s="12"/>
    </row>
    <row r="9" ht="17.25" customHeight="1">
      <c r="A9" s="87" t="s">
        <v>18</v>
      </c>
      <c r="B9" s="114">
        <f t="shared" ref="B9:C9" si="1">AVERAGE(B10:B15)</f>
        <v>0.5555555556</v>
      </c>
      <c r="C9" s="88">
        <f t="shared" si="1"/>
        <v>0.5555555556</v>
      </c>
      <c r="E9" s="31"/>
      <c r="F9" s="87" t="s">
        <v>18</v>
      </c>
      <c r="G9" s="114">
        <f t="shared" ref="G9:H9" si="2">AVERAGE(G10:G15)</f>
        <v>0.725</v>
      </c>
      <c r="H9" s="88">
        <f t="shared" si="2"/>
        <v>0.725</v>
      </c>
      <c r="J9" s="31"/>
      <c r="K9" s="87" t="s">
        <v>18</v>
      </c>
      <c r="L9" s="114">
        <f t="shared" ref="L9:M9" si="3">AVERAGE(L10:L15)</f>
        <v>0.3</v>
      </c>
      <c r="M9" s="88">
        <f t="shared" si="3"/>
        <v>0.3</v>
      </c>
      <c r="O9" s="31"/>
      <c r="P9" s="87" t="s">
        <v>18</v>
      </c>
      <c r="Q9" s="114">
        <f t="shared" ref="Q9:R9" si="4">AVERAGE(Q10:Q15)</f>
        <v>0.9166666667</v>
      </c>
      <c r="R9" s="88">
        <f t="shared" si="4"/>
        <v>0.90087958</v>
      </c>
      <c r="T9" s="21"/>
      <c r="U9" s="12"/>
      <c r="V9" s="12"/>
      <c r="W9" s="12"/>
      <c r="X9" s="12"/>
      <c r="Y9" s="12"/>
    </row>
    <row r="10" ht="15.0" customHeight="1">
      <c r="A10" s="89" t="s">
        <v>19</v>
      </c>
      <c r="B10" s="122">
        <f>Crusader!B10*1</f>
        <v>1</v>
      </c>
      <c r="C10" s="91">
        <f>1-(1-Crusader!B10)^1</f>
        <v>1</v>
      </c>
      <c r="E10" s="31"/>
      <c r="F10" s="89" t="s">
        <v>19</v>
      </c>
      <c r="G10" s="122">
        <f>Crusader!F10*1</f>
        <v>0.8</v>
      </c>
      <c r="H10" s="91">
        <f>1-(1-Crusader!F10)^1</f>
        <v>0.8</v>
      </c>
      <c r="J10" s="31"/>
      <c r="K10" s="89" t="s">
        <v>19</v>
      </c>
      <c r="L10" s="122">
        <f>Crusader!J10*1</f>
        <v>0.3333333333</v>
      </c>
      <c r="M10" s="91">
        <f>1-(1-Crusader!J10)^1</f>
        <v>0.3333333333</v>
      </c>
      <c r="O10" s="31"/>
      <c r="P10" s="89" t="s">
        <v>19</v>
      </c>
      <c r="Q10" s="122">
        <f>Crusader!N10*1</f>
        <v>1</v>
      </c>
      <c r="R10" s="91">
        <f>1-(1-Crusader!N10)^1</f>
        <v>1</v>
      </c>
      <c r="T10" s="21"/>
      <c r="U10" s="12"/>
      <c r="V10" s="12"/>
      <c r="W10" s="12"/>
      <c r="X10" s="12"/>
      <c r="Y10" s="12"/>
    </row>
    <row r="11" ht="15.0" customHeight="1">
      <c r="A11" s="92" t="s">
        <v>348</v>
      </c>
      <c r="B11" s="120">
        <f>Crusader!B11*1</f>
        <v>0.3333333333</v>
      </c>
      <c r="C11" s="93">
        <f>1-(1-Crusader!B11)^1</f>
        <v>0.3333333333</v>
      </c>
      <c r="E11" s="31"/>
      <c r="F11" s="92" t="s">
        <v>349</v>
      </c>
      <c r="G11" s="120">
        <f>Crusader!F11*1</f>
        <v>0.8</v>
      </c>
      <c r="H11" s="93">
        <f>1-(1-Crusader!F11)^1</f>
        <v>0.8</v>
      </c>
      <c r="J11" s="31"/>
      <c r="K11" s="92" t="s">
        <v>350</v>
      </c>
      <c r="L11" s="120">
        <f>Crusader!J11*1</f>
        <v>0.3333333333</v>
      </c>
      <c r="M11" s="93">
        <f>1-(1-Crusader!J11)^1</f>
        <v>0.3333333333</v>
      </c>
      <c r="O11" s="31"/>
      <c r="P11" s="92" t="s">
        <v>490</v>
      </c>
      <c r="Q11" s="120">
        <f>Crusader!N11*(1+1/3)</f>
        <v>0.8</v>
      </c>
      <c r="R11" s="93">
        <f>1-(1-Crusader!N11)^(1+1/3)</f>
        <v>0.7052774801</v>
      </c>
      <c r="T11" s="21"/>
      <c r="U11" s="12"/>
      <c r="V11" s="12"/>
      <c r="W11" s="12"/>
      <c r="X11" s="12"/>
      <c r="Y11" s="12"/>
    </row>
    <row r="12" ht="15.0" customHeight="1">
      <c r="A12" s="94" t="s">
        <v>352</v>
      </c>
      <c r="B12" s="122">
        <f>Crusader!B12*1</f>
        <v>0.3333333333</v>
      </c>
      <c r="C12" s="91">
        <f>1-(1-Crusader!B12)^1</f>
        <v>0.3333333333</v>
      </c>
      <c r="E12" s="31"/>
      <c r="F12" s="94" t="s">
        <v>353</v>
      </c>
      <c r="G12" s="122">
        <f>Crusader!F12*1</f>
        <v>0.54</v>
      </c>
      <c r="H12" s="91">
        <f>1-(1-Crusader!F12)^1</f>
        <v>0.54</v>
      </c>
      <c r="J12" s="31"/>
      <c r="K12" s="94" t="s">
        <v>354</v>
      </c>
      <c r="L12" s="122">
        <f>Crusader!J12*1</f>
        <v>0.3333333333</v>
      </c>
      <c r="M12" s="91">
        <f>1-(1-Crusader!J12)^1</f>
        <v>0.3333333333</v>
      </c>
      <c r="O12" s="31"/>
      <c r="P12" s="94" t="s">
        <v>355</v>
      </c>
      <c r="Q12" s="122">
        <f>Crusader!N12*1</f>
        <v>0.7</v>
      </c>
      <c r="R12" s="91">
        <f>1-(1-Crusader!N12)^1</f>
        <v>0.7</v>
      </c>
      <c r="T12" s="21"/>
      <c r="U12" s="12"/>
      <c r="V12" s="12"/>
      <c r="W12" s="12"/>
      <c r="X12" s="12"/>
      <c r="Y12" s="12"/>
    </row>
    <row r="13" ht="15.0" customHeight="1">
      <c r="A13" s="92" t="s">
        <v>356</v>
      </c>
      <c r="B13" s="120">
        <f>Crusader!B13*1</f>
        <v>0.3333333333</v>
      </c>
      <c r="C13" s="93">
        <f>1-(1-Crusader!B13)^1</f>
        <v>0.3333333333</v>
      </c>
      <c r="E13" s="31"/>
      <c r="F13" s="92" t="s">
        <v>357</v>
      </c>
      <c r="G13" s="120">
        <f>Crusader!F13*1</f>
        <v>0.8</v>
      </c>
      <c r="H13" s="93">
        <f>1-(1-Crusader!F13)^1</f>
        <v>0.8</v>
      </c>
      <c r="J13" s="31"/>
      <c r="K13" s="92" t="s">
        <v>358</v>
      </c>
      <c r="L13" s="120">
        <f>Crusader!J13*1</f>
        <v>0.3333333333</v>
      </c>
      <c r="M13" s="93">
        <f>1-(1-Crusader!J13)^1</f>
        <v>0.3333333333</v>
      </c>
      <c r="O13" s="31"/>
      <c r="P13" s="92" t="s">
        <v>359</v>
      </c>
      <c r="Q13" s="120">
        <f>Crusader!N13*1</f>
        <v>1</v>
      </c>
      <c r="R13" s="93">
        <f>1-(1-Crusader!N13)^1</f>
        <v>1</v>
      </c>
      <c r="T13" s="21"/>
      <c r="U13" s="12"/>
      <c r="V13" s="12"/>
      <c r="W13" s="12"/>
      <c r="X13" s="12"/>
      <c r="Y13" s="12"/>
    </row>
    <row r="14" ht="15.0" customHeight="1">
      <c r="A14" s="94" t="s">
        <v>360</v>
      </c>
      <c r="B14" s="122">
        <f>Crusader!B14*1</f>
        <v>1</v>
      </c>
      <c r="C14" s="91">
        <f>1-(1-Crusader!B14)^1</f>
        <v>1</v>
      </c>
      <c r="E14" s="31"/>
      <c r="F14" s="94" t="s">
        <v>491</v>
      </c>
      <c r="G14" s="122">
        <f>Crusader!F14*1</f>
        <v>0.61</v>
      </c>
      <c r="H14" s="91">
        <f>1-(1-Crusader!F14)^1</f>
        <v>0.61</v>
      </c>
      <c r="J14" s="31"/>
      <c r="K14" s="94" t="s">
        <v>362</v>
      </c>
      <c r="L14" s="122">
        <f>Crusader!J14*1</f>
        <v>0.1333333333</v>
      </c>
      <c r="M14" s="91">
        <f>1-(1-Crusader!J14)^1</f>
        <v>0.1333333333</v>
      </c>
      <c r="O14" s="31"/>
      <c r="P14" s="94" t="s">
        <v>363</v>
      </c>
      <c r="Q14" s="122">
        <f>Crusader!N14*1</f>
        <v>1</v>
      </c>
      <c r="R14" s="91">
        <f>1-(1-Crusader!N14)^1</f>
        <v>1</v>
      </c>
      <c r="T14" s="21"/>
      <c r="U14" s="12"/>
      <c r="V14" s="12"/>
      <c r="W14" s="12"/>
      <c r="X14" s="12"/>
      <c r="Y14" s="12"/>
    </row>
    <row r="15" ht="15.0" customHeight="1">
      <c r="A15" s="92" t="s">
        <v>364</v>
      </c>
      <c r="B15" s="120">
        <f>Crusader!B15*1</f>
        <v>0.3333333333</v>
      </c>
      <c r="C15" s="93">
        <f>1-(1-Crusader!B15)^1</f>
        <v>0.3333333333</v>
      </c>
      <c r="E15" s="31"/>
      <c r="F15" s="92" t="s">
        <v>365</v>
      </c>
      <c r="G15" s="120">
        <f>Crusader!F15*1</f>
        <v>0.8</v>
      </c>
      <c r="H15" s="93">
        <f>1-(1-Crusader!F15)^1</f>
        <v>0.8</v>
      </c>
      <c r="J15" s="31"/>
      <c r="K15" s="92" t="s">
        <v>366</v>
      </c>
      <c r="L15" s="120">
        <f>Crusader!J15*1</f>
        <v>0.3333333333</v>
      </c>
      <c r="M15" s="93">
        <f>1-(1-Crusader!J15)^1</f>
        <v>0.3333333333</v>
      </c>
      <c r="O15" s="31"/>
      <c r="P15" s="92" t="s">
        <v>367</v>
      </c>
      <c r="Q15" s="120">
        <f>Crusader!N15*1</f>
        <v>1</v>
      </c>
      <c r="R15" s="93">
        <f>1-(1-Crusader!N15)^1</f>
        <v>1</v>
      </c>
      <c r="T15" s="21"/>
      <c r="U15" s="12"/>
      <c r="V15" s="12"/>
      <c r="W15" s="12"/>
      <c r="X15" s="12"/>
      <c r="Y15" s="12"/>
    </row>
    <row r="16" ht="15.0" customHeight="1">
      <c r="A16" s="10"/>
      <c r="B16" s="26"/>
      <c r="C16" s="26"/>
      <c r="D16" s="41"/>
      <c r="E16" s="10"/>
      <c r="F16" s="10"/>
      <c r="G16" s="26"/>
      <c r="H16" s="26"/>
      <c r="I16" s="41"/>
      <c r="J16" s="10"/>
      <c r="K16" s="10"/>
      <c r="L16" s="26"/>
      <c r="M16" s="26"/>
      <c r="N16" s="41"/>
      <c r="O16" s="10"/>
      <c r="P16" s="10"/>
      <c r="Q16" s="26"/>
      <c r="R16" s="26"/>
      <c r="S16" s="41"/>
      <c r="T16" s="12"/>
      <c r="U16" s="12"/>
      <c r="V16" s="27"/>
      <c r="W16" s="27"/>
      <c r="X16" s="27"/>
      <c r="Y16" s="12"/>
    </row>
    <row r="17" ht="15.75" customHeight="1">
      <c r="A17" s="28"/>
      <c r="B17" s="29" t="s">
        <v>338</v>
      </c>
      <c r="C17" s="29" t="s">
        <v>339</v>
      </c>
      <c r="D17" s="30" t="s">
        <v>368</v>
      </c>
      <c r="E17" s="31"/>
      <c r="F17" s="28"/>
      <c r="G17" s="29" t="s">
        <v>338</v>
      </c>
      <c r="H17" s="29" t="s">
        <v>339</v>
      </c>
      <c r="I17" s="30" t="s">
        <v>369</v>
      </c>
      <c r="J17" s="31"/>
      <c r="K17" s="28"/>
      <c r="L17" s="29" t="s">
        <v>338</v>
      </c>
      <c r="M17" s="29" t="s">
        <v>339</v>
      </c>
      <c r="N17" s="30" t="s">
        <v>370</v>
      </c>
      <c r="O17" s="31"/>
      <c r="P17" s="28"/>
      <c r="Q17" s="29" t="s">
        <v>338</v>
      </c>
      <c r="R17" s="29" t="s">
        <v>339</v>
      </c>
      <c r="S17" s="30" t="s">
        <v>371</v>
      </c>
      <c r="T17" s="21"/>
      <c r="U17" s="28"/>
      <c r="V17" s="29" t="s">
        <v>338</v>
      </c>
      <c r="W17" s="29" t="s">
        <v>339</v>
      </c>
      <c r="X17" s="30" t="s">
        <v>372</v>
      </c>
      <c r="Y17" s="21"/>
    </row>
    <row r="18" ht="17.25" customHeight="1">
      <c r="A18" s="87" t="s">
        <v>18</v>
      </c>
      <c r="B18" s="114">
        <f t="shared" ref="B18:C18" si="5">AVERAGE(B19:B24)</f>
        <v>0.6308333333</v>
      </c>
      <c r="C18" s="88">
        <f t="shared" si="5"/>
        <v>0.5511942463</v>
      </c>
      <c r="E18" s="31"/>
      <c r="F18" s="87" t="s">
        <v>18</v>
      </c>
      <c r="G18" s="114">
        <f t="shared" ref="G18:H18" si="6">AVERAGE(G19:G24)</f>
        <v>0.2916666667</v>
      </c>
      <c r="H18" s="88">
        <f t="shared" si="6"/>
        <v>0.28125</v>
      </c>
      <c r="J18" s="31"/>
      <c r="K18" s="87" t="s">
        <v>18</v>
      </c>
      <c r="L18" s="114">
        <f t="shared" ref="L18:M18" si="7">AVERAGE(L19:L24)</f>
        <v>0.1041666667</v>
      </c>
      <c r="M18" s="88">
        <f t="shared" si="7"/>
        <v>0.103899438</v>
      </c>
      <c r="O18" s="31"/>
      <c r="P18" s="87" t="s">
        <v>18</v>
      </c>
      <c r="Q18" s="114">
        <f t="shared" ref="Q18:R18" si="8">AVERAGE(Q19:Q24)</f>
        <v>0.2944444444</v>
      </c>
      <c r="R18" s="88">
        <f t="shared" si="8"/>
        <v>0.2944444444</v>
      </c>
      <c r="T18" s="21"/>
      <c r="U18" s="87" t="s">
        <v>18</v>
      </c>
      <c r="V18" s="114">
        <f t="shared" ref="V18:W18" si="9">AVERAGE(V19:V24)</f>
        <v>0.1166666667</v>
      </c>
      <c r="W18" s="88">
        <f t="shared" si="9"/>
        <v>0.115</v>
      </c>
      <c r="Y18" s="21"/>
    </row>
    <row r="19" ht="15.0" customHeight="1">
      <c r="A19" s="89" t="s">
        <v>19</v>
      </c>
      <c r="B19" s="122">
        <f>Crusader!B19*1*(90/60)</f>
        <v>0.885</v>
      </c>
      <c r="C19" s="91">
        <f>1-(1-Crusader!B19)^(90/60)</f>
        <v>0.7374719063</v>
      </c>
      <c r="E19" s="31"/>
      <c r="F19" s="89" t="s">
        <v>19</v>
      </c>
      <c r="G19" s="122">
        <f>Crusader!F19*1</f>
        <v>0.25</v>
      </c>
      <c r="H19" s="91">
        <f>1-(1-Crusader!F19)^1</f>
        <v>0.25</v>
      </c>
      <c r="J19" s="31"/>
      <c r="K19" s="89" t="s">
        <v>19</v>
      </c>
      <c r="L19" s="122">
        <f>Crusader!J19*1</f>
        <v>0.1</v>
      </c>
      <c r="M19" s="91">
        <f>1-(1-Crusader!J19)^1</f>
        <v>0.1</v>
      </c>
      <c r="O19" s="31"/>
      <c r="P19" s="89" t="s">
        <v>19</v>
      </c>
      <c r="Q19" s="122">
        <f>Crusader!N19*1</f>
        <v>0.3333333333</v>
      </c>
      <c r="R19" s="91">
        <f>1-(1-Crusader!N19)^1</f>
        <v>0.3333333333</v>
      </c>
      <c r="T19" s="21"/>
      <c r="U19" s="89" t="s">
        <v>19</v>
      </c>
      <c r="V19" s="122">
        <f>Crusader!R19*1</f>
        <v>0.1</v>
      </c>
      <c r="W19" s="91">
        <f>1-(1-Crusader!R19)^1</f>
        <v>0.1</v>
      </c>
      <c r="Y19" s="21"/>
    </row>
    <row r="20" ht="15.0" customHeight="1">
      <c r="A20" s="92" t="s">
        <v>373</v>
      </c>
      <c r="B20" s="120">
        <f>Crusader!B20*1*(90/60)</f>
        <v>0.5</v>
      </c>
      <c r="C20" s="93">
        <f>1-(1-Crusader!B20)^(90/60)</f>
        <v>0.455668946</v>
      </c>
      <c r="E20" s="31"/>
      <c r="F20" s="92" t="s">
        <v>374</v>
      </c>
      <c r="G20" s="120">
        <f>Crusader!F20*2</f>
        <v>0.5</v>
      </c>
      <c r="H20" s="93">
        <f>1-(1-Crusader!F20)^2</f>
        <v>0.4375</v>
      </c>
      <c r="J20" s="31"/>
      <c r="K20" s="92" t="s">
        <v>375</v>
      </c>
      <c r="L20" s="120">
        <f>Crusader!J20*1.25</f>
        <v>0.125</v>
      </c>
      <c r="M20" s="93">
        <f>1-(1-Crusader!J20)^1.25</f>
        <v>0.1233966282</v>
      </c>
      <c r="O20" s="31"/>
      <c r="P20" s="92" t="s">
        <v>376</v>
      </c>
      <c r="Q20" s="120">
        <f>Crusader!N20*1</f>
        <v>0.3333333333</v>
      </c>
      <c r="R20" s="93">
        <f>1-(1-Crusader!N20)^1</f>
        <v>0.3333333333</v>
      </c>
      <c r="T20" s="21"/>
      <c r="U20" s="92" t="s">
        <v>377</v>
      </c>
      <c r="V20" s="120">
        <f>Crusader!R20*2</f>
        <v>0.2</v>
      </c>
      <c r="W20" s="93">
        <f>1-(1-Crusader!R20)^2</f>
        <v>0.19</v>
      </c>
      <c r="Y20" s="21"/>
    </row>
    <row r="21" ht="15.0" customHeight="1">
      <c r="A21" s="94" t="s">
        <v>378</v>
      </c>
      <c r="B21" s="122">
        <f>Crusader!B21*1*(90/60)</f>
        <v>0.5</v>
      </c>
      <c r="C21" s="91">
        <f>1-(1-Crusader!B21)^(90/60)</f>
        <v>0.455668946</v>
      </c>
      <c r="E21" s="31"/>
      <c r="F21" s="94" t="s">
        <v>379</v>
      </c>
      <c r="G21" s="122">
        <f>Crusader!F21*1</f>
        <v>0.25</v>
      </c>
      <c r="H21" s="91">
        <f>1-(1-Crusader!F21)^1</f>
        <v>0.25</v>
      </c>
      <c r="J21" s="31"/>
      <c r="K21" s="94" t="s">
        <v>492</v>
      </c>
      <c r="L21" s="122">
        <f>Crusader!J21*1</f>
        <v>0.1</v>
      </c>
      <c r="M21" s="91">
        <f>1-(1-Crusader!J21)^1</f>
        <v>0.1</v>
      </c>
      <c r="O21" s="31"/>
      <c r="P21" s="94" t="s">
        <v>381</v>
      </c>
      <c r="Q21" s="122">
        <f>Crusader!N21*1</f>
        <v>0.3333333333</v>
      </c>
      <c r="R21" s="91">
        <f>1-(1-Crusader!N21)^1</f>
        <v>0.3333333333</v>
      </c>
      <c r="T21" s="21"/>
      <c r="U21" s="94" t="s">
        <v>493</v>
      </c>
      <c r="V21" s="122">
        <f>Crusader!R21*1</f>
        <v>0.1</v>
      </c>
      <c r="W21" s="91">
        <f>1-(1-Crusader!R21)^1</f>
        <v>0.1</v>
      </c>
      <c r="Y21" s="21"/>
    </row>
    <row r="22" ht="15.0" customHeight="1">
      <c r="A22" s="92" t="s">
        <v>383</v>
      </c>
      <c r="B22" s="120">
        <f>Crusader!B22*1*(90/60)</f>
        <v>0.5</v>
      </c>
      <c r="C22" s="93">
        <f>1-(1-Crusader!B22)^(90/60)</f>
        <v>0.455668946</v>
      </c>
      <c r="E22" s="31"/>
      <c r="F22" s="92" t="s">
        <v>384</v>
      </c>
      <c r="G22" s="120">
        <f>Crusader!F22*1</f>
        <v>0.25</v>
      </c>
      <c r="H22" s="93">
        <f>1-(1-Crusader!F22)^1</f>
        <v>0.25</v>
      </c>
      <c r="J22" s="31"/>
      <c r="K22" s="92" t="s">
        <v>385</v>
      </c>
      <c r="L22" s="120">
        <f>Crusader!J22*1</f>
        <v>0.1</v>
      </c>
      <c r="M22" s="93">
        <f>1-(1-Crusader!J22)^1</f>
        <v>0.1</v>
      </c>
      <c r="O22" s="31"/>
      <c r="P22" s="92" t="s">
        <v>386</v>
      </c>
      <c r="Q22" s="120">
        <f>Crusader!N22*1</f>
        <v>0.3333333333</v>
      </c>
      <c r="R22" s="93">
        <f>1-(1-Crusader!N22)^1</f>
        <v>0.3333333333</v>
      </c>
      <c r="T22" s="21"/>
      <c r="U22" s="92" t="s">
        <v>494</v>
      </c>
      <c r="V22" s="120">
        <f>Crusader!R22*1</f>
        <v>0.1</v>
      </c>
      <c r="W22" s="93">
        <f>1-(1-Crusader!R22)^1</f>
        <v>0.1</v>
      </c>
      <c r="Y22" s="21"/>
    </row>
    <row r="23" ht="15.0" customHeight="1">
      <c r="A23" s="94" t="s">
        <v>388</v>
      </c>
      <c r="B23" s="122">
        <f>Crusader!B23*1*(90/60)</f>
        <v>0.5</v>
      </c>
      <c r="C23" s="91">
        <f>1-(1-Crusader!B23)^(90/60)</f>
        <v>0.455668946</v>
      </c>
      <c r="E23" s="31"/>
      <c r="F23" s="94" t="s">
        <v>389</v>
      </c>
      <c r="G23" s="122">
        <f>Crusader!F23*1</f>
        <v>0.25</v>
      </c>
      <c r="H23" s="91">
        <f>1-(1-Crusader!F23)^1</f>
        <v>0.25</v>
      </c>
      <c r="J23" s="31"/>
      <c r="K23" s="94" t="s">
        <v>390</v>
      </c>
      <c r="L23" s="122">
        <f>Crusader!J23*1</f>
        <v>0.1</v>
      </c>
      <c r="M23" s="91">
        <f>1-(1-Crusader!J23)^1</f>
        <v>0.1</v>
      </c>
      <c r="O23" s="31"/>
      <c r="P23" s="94" t="s">
        <v>391</v>
      </c>
      <c r="Q23" s="122">
        <f>Crusader!N23*1</f>
        <v>0.1</v>
      </c>
      <c r="R23" s="91">
        <f>1-(1-Crusader!N23)^1</f>
        <v>0.1</v>
      </c>
      <c r="T23" s="21"/>
      <c r="U23" s="94" t="s">
        <v>392</v>
      </c>
      <c r="V23" s="122">
        <f>Crusader!R23*1</f>
        <v>0.1</v>
      </c>
      <c r="W23" s="91">
        <f>1-(1-Crusader!R23)^1</f>
        <v>0.1</v>
      </c>
      <c r="Y23" s="21"/>
    </row>
    <row r="24" ht="15.0" customHeight="1">
      <c r="A24" s="92" t="s">
        <v>393</v>
      </c>
      <c r="B24" s="120">
        <f>Crusader!B24*1*(90/60)</f>
        <v>0.9</v>
      </c>
      <c r="C24" s="93">
        <f>1-(1-Crusader!B24)^(90/60)</f>
        <v>0.7470177872</v>
      </c>
      <c r="E24" s="31"/>
      <c r="F24" s="92" t="s">
        <v>394</v>
      </c>
      <c r="G24" s="120">
        <f>Crusader!F24*1</f>
        <v>0.25</v>
      </c>
      <c r="H24" s="93">
        <f>1-(1-Crusader!F24)^1</f>
        <v>0.25</v>
      </c>
      <c r="J24" s="31"/>
      <c r="K24" s="92" t="s">
        <v>395</v>
      </c>
      <c r="L24" s="120">
        <f>Crusader!J24*1</f>
        <v>0.1</v>
      </c>
      <c r="M24" s="93">
        <f>1-(1-Crusader!J24)^1</f>
        <v>0.1</v>
      </c>
      <c r="O24" s="31"/>
      <c r="P24" s="92" t="s">
        <v>396</v>
      </c>
      <c r="Q24" s="120">
        <f>Crusader!N24*1</f>
        <v>0.3333333333</v>
      </c>
      <c r="R24" s="93">
        <f>1-(1-Crusader!N24)^1</f>
        <v>0.3333333333</v>
      </c>
      <c r="T24" s="21"/>
      <c r="U24" s="92" t="s">
        <v>107</v>
      </c>
      <c r="V24" s="120">
        <f>Crusader!R24*1</f>
        <v>0.1</v>
      </c>
      <c r="W24" s="93">
        <f>1-(1-Crusader!R24)^1</f>
        <v>0.1</v>
      </c>
      <c r="Y24" s="21"/>
    </row>
    <row r="25" ht="15.0" customHeight="1">
      <c r="A25" s="71"/>
      <c r="B25" s="26"/>
      <c r="C25" s="26"/>
      <c r="D25" s="41"/>
      <c r="E25" s="10"/>
      <c r="F25" s="71"/>
      <c r="G25" s="26"/>
      <c r="H25" s="26"/>
      <c r="I25" s="41"/>
      <c r="J25" s="10"/>
      <c r="K25" s="71"/>
      <c r="L25" s="26"/>
      <c r="M25" s="26"/>
      <c r="N25" s="41"/>
      <c r="O25" s="10"/>
      <c r="P25" s="71"/>
      <c r="Q25" s="26"/>
      <c r="R25" s="26"/>
      <c r="S25" s="41"/>
      <c r="T25" s="12"/>
      <c r="U25" s="12"/>
      <c r="V25" s="12"/>
      <c r="W25" s="12"/>
      <c r="X25" s="48"/>
      <c r="Y25" s="12"/>
    </row>
    <row r="26" ht="15.75" customHeight="1">
      <c r="A26" s="28"/>
      <c r="B26" s="29" t="s">
        <v>338</v>
      </c>
      <c r="C26" s="29" t="s">
        <v>339</v>
      </c>
      <c r="D26" s="30" t="s">
        <v>397</v>
      </c>
      <c r="E26" s="31"/>
      <c r="F26" s="28"/>
      <c r="G26" s="29" t="s">
        <v>338</v>
      </c>
      <c r="H26" s="29" t="s">
        <v>339</v>
      </c>
      <c r="I26" s="30" t="s">
        <v>398</v>
      </c>
      <c r="J26" s="31"/>
      <c r="K26" s="28"/>
      <c r="L26" s="29" t="s">
        <v>338</v>
      </c>
      <c r="M26" s="29" t="s">
        <v>339</v>
      </c>
      <c r="N26" s="30" t="s">
        <v>399</v>
      </c>
      <c r="O26" s="31"/>
      <c r="P26" s="28"/>
      <c r="Q26" s="29" t="s">
        <v>338</v>
      </c>
      <c r="R26" s="29" t="s">
        <v>339</v>
      </c>
      <c r="S26" s="30" t="s">
        <v>400</v>
      </c>
      <c r="T26" s="21"/>
      <c r="U26" s="12"/>
      <c r="V26" s="12"/>
      <c r="W26" s="12"/>
      <c r="X26" s="12"/>
      <c r="Y26" s="12"/>
    </row>
    <row r="27" ht="17.25" customHeight="1">
      <c r="A27" s="87" t="s">
        <v>18</v>
      </c>
      <c r="B27" s="114">
        <f t="shared" ref="B27:C27" si="10">AVERAGE(B28:B33)</f>
        <v>0.25</v>
      </c>
      <c r="C27" s="88">
        <f t="shared" si="10"/>
        <v>0.25</v>
      </c>
      <c r="E27" s="31"/>
      <c r="F27" s="87" t="s">
        <v>18</v>
      </c>
      <c r="G27" s="114">
        <f t="shared" ref="G27:H27" si="11">AVERAGE(G28:G33)</f>
        <v>0.01666666667</v>
      </c>
      <c r="H27" s="88">
        <f t="shared" si="11"/>
        <v>0.01666666667</v>
      </c>
      <c r="J27" s="31"/>
      <c r="K27" s="87" t="s">
        <v>18</v>
      </c>
      <c r="L27" s="114">
        <f t="shared" ref="L27:M27" si="12">AVERAGE(L28:L33)</f>
        <v>0</v>
      </c>
      <c r="M27" s="88">
        <f t="shared" si="12"/>
        <v>0.008333333333</v>
      </c>
      <c r="O27" s="31"/>
      <c r="P27" s="87" t="s">
        <v>18</v>
      </c>
      <c r="Q27" s="114">
        <f t="shared" ref="Q27:R27" si="13">AVERAGE(Q28:Q33)</f>
        <v>0</v>
      </c>
      <c r="R27" s="88">
        <f t="shared" si="13"/>
        <v>0</v>
      </c>
      <c r="T27" s="21"/>
      <c r="U27" s="12"/>
      <c r="V27" s="12"/>
      <c r="W27" s="12"/>
      <c r="X27" s="12"/>
      <c r="Y27" s="12"/>
    </row>
    <row r="28" ht="15.0" customHeight="1">
      <c r="A28" s="89" t="s">
        <v>19</v>
      </c>
      <c r="B28" s="122">
        <f>Crusader!B28*1</f>
        <v>0.25</v>
      </c>
      <c r="C28" s="91">
        <f>1-(1-Crusader!B28)^1</f>
        <v>0.25</v>
      </c>
      <c r="E28" s="31"/>
      <c r="F28" s="89" t="s">
        <v>19</v>
      </c>
      <c r="G28" s="122">
        <f>Crusader!F28*1</f>
        <v>0</v>
      </c>
      <c r="H28" s="91">
        <f>1-(1-Crusader!F28)^1</f>
        <v>0</v>
      </c>
      <c r="J28" s="31"/>
      <c r="K28" s="89" t="s">
        <v>19</v>
      </c>
      <c r="L28" s="122">
        <f>Crusader!J28*1</f>
        <v>0</v>
      </c>
      <c r="M28" s="91">
        <f>1-(1-Crusader!J28)^1</f>
        <v>0</v>
      </c>
      <c r="O28" s="31"/>
      <c r="P28" s="89" t="s">
        <v>19</v>
      </c>
      <c r="Q28" s="122">
        <f>Crusader!N28*1</f>
        <v>0</v>
      </c>
      <c r="R28" s="91">
        <f>1-(1-Crusader!N28)^1</f>
        <v>0</v>
      </c>
      <c r="T28" s="21"/>
      <c r="U28" s="12"/>
      <c r="V28" s="12"/>
      <c r="W28" s="12"/>
      <c r="X28" s="12"/>
      <c r="Y28" s="12"/>
    </row>
    <row r="29" ht="15.0" customHeight="1">
      <c r="A29" s="92" t="s">
        <v>401</v>
      </c>
      <c r="B29" s="120">
        <f>Crusader!B29*1</f>
        <v>0.25</v>
      </c>
      <c r="C29" s="93">
        <f>1-(1-Crusader!B29)^1</f>
        <v>0.25</v>
      </c>
      <c r="E29" s="31"/>
      <c r="F29" s="92" t="s">
        <v>402</v>
      </c>
      <c r="G29" s="120">
        <f>Crusader!F29*1</f>
        <v>0</v>
      </c>
      <c r="H29" s="93">
        <f>1-(1-Crusader!F29)^1</f>
        <v>0</v>
      </c>
      <c r="J29" s="31"/>
      <c r="K29" s="92" t="s">
        <v>403</v>
      </c>
      <c r="L29" s="120">
        <f>Crusader!J29*1</f>
        <v>0</v>
      </c>
      <c r="M29" s="93">
        <f>1-(1-Crusader!J29)^1</f>
        <v>0</v>
      </c>
      <c r="O29" s="31"/>
      <c r="P29" s="92" t="s">
        <v>404</v>
      </c>
      <c r="Q29" s="120">
        <f>Crusader!N29*1</f>
        <v>0</v>
      </c>
      <c r="R29" s="93">
        <f>1-(1-Crusader!N29)^1</f>
        <v>0</v>
      </c>
      <c r="T29" s="21"/>
      <c r="U29" s="12"/>
      <c r="V29" s="12"/>
      <c r="W29" s="12"/>
      <c r="X29" s="12"/>
      <c r="Y29" s="12"/>
    </row>
    <row r="30" ht="15.0" customHeight="1">
      <c r="A30" s="94" t="s">
        <v>405</v>
      </c>
      <c r="B30" s="122">
        <f>Crusader!B30*1</f>
        <v>0.25</v>
      </c>
      <c r="C30" s="91">
        <f>1-(1-Crusader!B30)^1</f>
        <v>0.25</v>
      </c>
      <c r="E30" s="31"/>
      <c r="F30" s="94" t="s">
        <v>406</v>
      </c>
      <c r="G30" s="122">
        <f>Crusader!F30*1</f>
        <v>0</v>
      </c>
      <c r="H30" s="91">
        <f>1-(1-Crusader!F30)^1</f>
        <v>0</v>
      </c>
      <c r="J30" s="31"/>
      <c r="K30" s="94" t="s">
        <v>407</v>
      </c>
      <c r="L30" s="122">
        <f>Crusader!J30*1</f>
        <v>0</v>
      </c>
      <c r="M30" s="91">
        <f>1-(1-Crusader!J30)^1</f>
        <v>0</v>
      </c>
      <c r="O30" s="31"/>
      <c r="P30" s="94" t="s">
        <v>408</v>
      </c>
      <c r="Q30" s="122">
        <f>Crusader!N30*1</f>
        <v>0</v>
      </c>
      <c r="R30" s="91">
        <f>1-(1-Crusader!N30)^1</f>
        <v>0</v>
      </c>
      <c r="T30" s="21"/>
      <c r="U30" s="12"/>
      <c r="V30" s="12"/>
      <c r="W30" s="12"/>
      <c r="X30" s="12"/>
      <c r="Y30" s="12"/>
    </row>
    <row r="31" ht="15.0" customHeight="1">
      <c r="A31" s="92" t="s">
        <v>409</v>
      </c>
      <c r="B31" s="120">
        <f>Crusader!B31*1</f>
        <v>0.25</v>
      </c>
      <c r="C31" s="93">
        <f>1-(1-Crusader!B31)^1</f>
        <v>0.25</v>
      </c>
      <c r="E31" s="31"/>
      <c r="F31" s="92" t="s">
        <v>410</v>
      </c>
      <c r="G31" s="120">
        <f>Crusader!F31*1</f>
        <v>0.1</v>
      </c>
      <c r="H31" s="93">
        <f>1-(1-Crusader!F31)^1</f>
        <v>0.1</v>
      </c>
      <c r="J31" s="31"/>
      <c r="K31" s="92" t="s">
        <v>411</v>
      </c>
      <c r="L31" s="120">
        <f>Crusader!J31*1</f>
        <v>0</v>
      </c>
      <c r="M31" s="93">
        <f>1-(1-Crusader!J31)^1</f>
        <v>0</v>
      </c>
      <c r="O31" s="31"/>
      <c r="P31" s="92" t="s">
        <v>412</v>
      </c>
      <c r="Q31" s="120">
        <f>Crusader!N31*1</f>
        <v>0</v>
      </c>
      <c r="R31" s="93">
        <f>1-(1-Crusader!N31)^1</f>
        <v>0</v>
      </c>
      <c r="T31" s="21"/>
      <c r="U31" s="12"/>
      <c r="V31" s="12"/>
      <c r="W31" s="12"/>
      <c r="X31" s="12"/>
      <c r="Y31" s="12"/>
    </row>
    <row r="32" ht="15.0" customHeight="1">
      <c r="A32" s="94" t="s">
        <v>413</v>
      </c>
      <c r="B32" s="122">
        <f>Crusader!B32*1</f>
        <v>0.25</v>
      </c>
      <c r="C32" s="91">
        <f>1-(1-Crusader!B32)^1</f>
        <v>0.25</v>
      </c>
      <c r="E32" s="31"/>
      <c r="F32" s="94" t="s">
        <v>414</v>
      </c>
      <c r="G32" s="122">
        <f>Crusader!F32*1</f>
        <v>0</v>
      </c>
      <c r="H32" s="91">
        <f>1-(1-Crusader!F32)^1</f>
        <v>0</v>
      </c>
      <c r="J32" s="31"/>
      <c r="K32" s="94" t="s">
        <v>52</v>
      </c>
      <c r="L32" s="117">
        <v>0.0</v>
      </c>
      <c r="M32" s="91">
        <f>1-(1-Crusader!J32)^1</f>
        <v>0.05</v>
      </c>
      <c r="O32" s="31"/>
      <c r="P32" s="94" t="s">
        <v>416</v>
      </c>
      <c r="Q32" s="122">
        <f>Crusader!N32*1</f>
        <v>0</v>
      </c>
      <c r="R32" s="91">
        <f>1-(1-Crusader!N32)^1</f>
        <v>0</v>
      </c>
      <c r="T32" s="21"/>
      <c r="U32" s="12"/>
      <c r="V32" s="12"/>
      <c r="W32" s="12"/>
      <c r="X32" s="12"/>
      <c r="Y32" s="12"/>
    </row>
    <row r="33" ht="15.0" customHeight="1">
      <c r="A33" s="92" t="s">
        <v>417</v>
      </c>
      <c r="B33" s="120">
        <f>Crusader!B33*1</f>
        <v>0.25</v>
      </c>
      <c r="C33" s="93">
        <f>1-(1-Crusader!B33)^1</f>
        <v>0.25</v>
      </c>
      <c r="E33" s="31"/>
      <c r="F33" s="92" t="s">
        <v>418</v>
      </c>
      <c r="G33" s="120">
        <f>Crusader!F33*1</f>
        <v>0</v>
      </c>
      <c r="H33" s="93">
        <f>1-(1-Crusader!F33)^1</f>
        <v>0</v>
      </c>
      <c r="J33" s="31"/>
      <c r="K33" s="92" t="s">
        <v>419</v>
      </c>
      <c r="L33" s="120">
        <f>Crusader!J33*1</f>
        <v>0</v>
      </c>
      <c r="M33" s="93">
        <f>1-(1-Crusader!J33)^1</f>
        <v>0</v>
      </c>
      <c r="O33" s="31"/>
      <c r="P33" s="92" t="s">
        <v>420</v>
      </c>
      <c r="Q33" s="120">
        <f>Crusader!N33*1</f>
        <v>0</v>
      </c>
      <c r="R33" s="93">
        <f>1-(1-Crusader!N33)^1</f>
        <v>0</v>
      </c>
      <c r="T33" s="21"/>
      <c r="U33" s="12"/>
      <c r="V33" s="12"/>
      <c r="W33" s="12"/>
      <c r="X33" s="12"/>
      <c r="Y33" s="12"/>
    </row>
    <row r="34" ht="15.0" customHeight="1">
      <c r="A34" s="71"/>
      <c r="B34" s="26"/>
      <c r="C34" s="26"/>
      <c r="D34" s="41"/>
      <c r="E34" s="10"/>
      <c r="F34" s="71"/>
      <c r="G34" s="26"/>
      <c r="H34" s="26"/>
      <c r="I34" s="41"/>
      <c r="J34" s="10"/>
      <c r="K34" s="71"/>
      <c r="L34" s="26"/>
      <c r="M34" s="26"/>
      <c r="N34" s="41"/>
      <c r="O34" s="10"/>
      <c r="P34" s="71"/>
      <c r="Q34" s="26"/>
      <c r="R34" s="26"/>
      <c r="S34" s="41"/>
      <c r="T34" s="12"/>
      <c r="U34" s="12"/>
      <c r="V34" s="12"/>
      <c r="W34" s="12"/>
      <c r="X34" s="12"/>
      <c r="Y34" s="12"/>
    </row>
    <row r="35" ht="15.75" customHeight="1">
      <c r="A35" s="28"/>
      <c r="B35" s="29" t="s">
        <v>338</v>
      </c>
      <c r="C35" s="29" t="s">
        <v>339</v>
      </c>
      <c r="D35" s="30" t="s">
        <v>421</v>
      </c>
      <c r="E35" s="31"/>
      <c r="F35" s="28"/>
      <c r="G35" s="29" t="s">
        <v>338</v>
      </c>
      <c r="H35" s="29" t="s">
        <v>339</v>
      </c>
      <c r="I35" s="30" t="s">
        <v>422</v>
      </c>
      <c r="J35" s="31"/>
      <c r="K35" s="28"/>
      <c r="L35" s="29" t="s">
        <v>338</v>
      </c>
      <c r="M35" s="29" t="s">
        <v>339</v>
      </c>
      <c r="N35" s="30" t="s">
        <v>423</v>
      </c>
      <c r="O35" s="31"/>
      <c r="P35" s="28"/>
      <c r="Q35" s="29" t="s">
        <v>338</v>
      </c>
      <c r="R35" s="29" t="s">
        <v>339</v>
      </c>
      <c r="S35" s="30" t="s">
        <v>424</v>
      </c>
      <c r="T35" s="21"/>
      <c r="U35" s="12"/>
      <c r="V35" s="12"/>
      <c r="W35" s="12"/>
      <c r="X35" s="12"/>
      <c r="Y35" s="12"/>
    </row>
    <row r="36" ht="17.25" customHeight="1">
      <c r="A36" s="87" t="s">
        <v>18</v>
      </c>
      <c r="B36" s="114">
        <f t="shared" ref="B36:C36" si="14">AVERAGE(B37:B42)</f>
        <v>0</v>
      </c>
      <c r="C36" s="88">
        <f t="shared" si="14"/>
        <v>0</v>
      </c>
      <c r="E36" s="31"/>
      <c r="F36" s="87" t="s">
        <v>18</v>
      </c>
      <c r="G36" s="114">
        <f t="shared" ref="G36:H36" si="15">AVERAGE(G37:G42)</f>
        <v>0.03333333333</v>
      </c>
      <c r="H36" s="88">
        <f t="shared" si="15"/>
        <v>0.03313466667</v>
      </c>
      <c r="J36" s="31"/>
      <c r="K36" s="87" t="s">
        <v>18</v>
      </c>
      <c r="L36" s="130">
        <f t="shared" ref="L36:M36" si="16">AVERAGE(L37:L42)</f>
        <v>0.8611111111</v>
      </c>
      <c r="M36" s="131">
        <f t="shared" si="16"/>
        <v>0.8611111111</v>
      </c>
      <c r="O36" s="31"/>
      <c r="P36" s="87" t="s">
        <v>18</v>
      </c>
      <c r="Q36" s="114">
        <f t="shared" ref="Q36:R36" si="17">AVERAGE(Q37:Q42)</f>
        <v>0</v>
      </c>
      <c r="R36" s="88">
        <f t="shared" si="17"/>
        <v>0</v>
      </c>
      <c r="T36" s="21"/>
      <c r="U36" s="12"/>
      <c r="V36" s="12"/>
      <c r="W36" s="12"/>
      <c r="X36" s="12"/>
      <c r="Y36" s="12"/>
    </row>
    <row r="37" ht="15.0" customHeight="1">
      <c r="A37" s="89" t="s">
        <v>19</v>
      </c>
      <c r="B37" s="122">
        <f>Crusader!B37*1</f>
        <v>0</v>
      </c>
      <c r="C37" s="91">
        <f>1-(1-Crusader!B37)^1</f>
        <v>0</v>
      </c>
      <c r="E37" s="31"/>
      <c r="F37" s="89" t="s">
        <v>19</v>
      </c>
      <c r="G37" s="122">
        <f>Crusader!F37*1</f>
        <v>0</v>
      </c>
      <c r="H37" s="91">
        <f>1-(1-Crusader!F37)^1</f>
        <v>0</v>
      </c>
      <c r="J37" s="31"/>
      <c r="K37" s="89" t="s">
        <v>19</v>
      </c>
      <c r="L37" s="122">
        <f>Crusader!J37*1</f>
        <v>0.8333333333</v>
      </c>
      <c r="M37" s="91">
        <f>1-(1-Crusader!J37)^1</f>
        <v>0.8333333333</v>
      </c>
      <c r="O37" s="31"/>
      <c r="P37" s="89" t="s">
        <v>19</v>
      </c>
      <c r="Q37" s="122">
        <f>Crusader!O37*1</f>
        <v>0</v>
      </c>
      <c r="R37" s="91">
        <f>1-(1-Crusader!O37)^1</f>
        <v>0</v>
      </c>
      <c r="T37" s="21"/>
      <c r="U37" s="12"/>
      <c r="V37" s="12"/>
      <c r="W37" s="12"/>
      <c r="X37" s="12"/>
      <c r="Y37" s="12"/>
    </row>
    <row r="38" ht="15.0" customHeight="1">
      <c r="A38" s="92" t="s">
        <v>425</v>
      </c>
      <c r="B38" s="120">
        <f>Crusader!B38*1</f>
        <v>0</v>
      </c>
      <c r="C38" s="93">
        <f>1-(1-Crusader!B38)^1</f>
        <v>0</v>
      </c>
      <c r="E38" s="31"/>
      <c r="F38" s="92" t="s">
        <v>426</v>
      </c>
      <c r="G38" s="120">
        <f>Crusader!F38*1</f>
        <v>0.1</v>
      </c>
      <c r="H38" s="93">
        <f>1-(1-Crusader!F38)^1</f>
        <v>0.1</v>
      </c>
      <c r="J38" s="31"/>
      <c r="K38" s="92" t="s">
        <v>427</v>
      </c>
      <c r="L38" s="120">
        <f>Crusader!J38*1</f>
        <v>0.5</v>
      </c>
      <c r="M38" s="93">
        <f>1-(1-Crusader!J38)^1</f>
        <v>0.5</v>
      </c>
      <c r="O38" s="31"/>
      <c r="P38" s="92" t="s">
        <v>428</v>
      </c>
      <c r="Q38" s="120">
        <f>Crusader!O38*1</f>
        <v>0</v>
      </c>
      <c r="R38" s="93">
        <f>1-(1-Crusader!O38)^1</f>
        <v>0</v>
      </c>
      <c r="T38" s="21"/>
      <c r="U38" s="12"/>
      <c r="V38" s="12"/>
      <c r="W38" s="12"/>
      <c r="X38" s="12"/>
      <c r="Y38" s="12"/>
    </row>
    <row r="39" ht="15.0" customHeight="1">
      <c r="A39" s="94" t="s">
        <v>429</v>
      </c>
      <c r="B39" s="122">
        <f>Crusader!B39*1</f>
        <v>0</v>
      </c>
      <c r="C39" s="91">
        <f>1-(1-Crusader!B39)^1</f>
        <v>0</v>
      </c>
      <c r="E39" s="31"/>
      <c r="F39" s="94" t="s">
        <v>430</v>
      </c>
      <c r="G39" s="122">
        <f>Crusader!F39*3</f>
        <v>0.06</v>
      </c>
      <c r="H39" s="91">
        <f>1-(1-Crusader!F39)^3</f>
        <v>0.058808</v>
      </c>
      <c r="J39" s="31"/>
      <c r="K39" s="94" t="s">
        <v>431</v>
      </c>
      <c r="L39" s="122">
        <f>Crusader!J39*1</f>
        <v>0.8333333333</v>
      </c>
      <c r="M39" s="91">
        <f>1-(1-Crusader!J39)^1</f>
        <v>0.8333333333</v>
      </c>
      <c r="O39" s="31"/>
      <c r="P39" s="94" t="s">
        <v>432</v>
      </c>
      <c r="Q39" s="122">
        <f>Crusader!O39*1</f>
        <v>0</v>
      </c>
      <c r="R39" s="91">
        <f>1-(1-Crusader!O39)^1</f>
        <v>0</v>
      </c>
      <c r="T39" s="21"/>
      <c r="U39" s="12"/>
      <c r="V39" s="12"/>
      <c r="W39" s="12"/>
      <c r="X39" s="12"/>
      <c r="Y39" s="12"/>
    </row>
    <row r="40" ht="15.0" customHeight="1">
      <c r="A40" s="92" t="s">
        <v>433</v>
      </c>
      <c r="B40" s="120">
        <f>Crusader!B40*1</f>
        <v>0</v>
      </c>
      <c r="C40" s="93">
        <f>1-(1-Crusader!B40)^1</f>
        <v>0</v>
      </c>
      <c r="E40" s="31"/>
      <c r="F40" s="92" t="s">
        <v>434</v>
      </c>
      <c r="G40" s="120">
        <f>Crusader!F40*1</f>
        <v>0</v>
      </c>
      <c r="H40" s="93">
        <f>1-(1-Crusader!F40)^1</f>
        <v>0</v>
      </c>
      <c r="J40" s="31"/>
      <c r="K40" s="92" t="s">
        <v>435</v>
      </c>
      <c r="L40" s="120">
        <f>Crusader!J40*1</f>
        <v>0.8333333333</v>
      </c>
      <c r="M40" s="93">
        <f>1-(1-Crusader!J40)^1</f>
        <v>0.8333333333</v>
      </c>
      <c r="O40" s="31"/>
      <c r="P40" s="92" t="s">
        <v>436</v>
      </c>
      <c r="Q40" s="120">
        <f>Crusader!O40*1</f>
        <v>0</v>
      </c>
      <c r="R40" s="93">
        <f>1-(1-Crusader!O40)^1</f>
        <v>0</v>
      </c>
      <c r="T40" s="21"/>
      <c r="U40" s="12"/>
      <c r="V40" s="12"/>
      <c r="W40" s="12"/>
      <c r="X40" s="12"/>
      <c r="Y40" s="12"/>
    </row>
    <row r="41" ht="15.0" customHeight="1">
      <c r="A41" s="94" t="s">
        <v>414</v>
      </c>
      <c r="B41" s="122">
        <f>Crusader!B41*1</f>
        <v>0</v>
      </c>
      <c r="C41" s="91">
        <f>1-(1-Crusader!B41)^1</f>
        <v>0</v>
      </c>
      <c r="E41" s="31"/>
      <c r="F41" s="94" t="s">
        <v>437</v>
      </c>
      <c r="G41" s="122">
        <f>Crusader!F41*1</f>
        <v>0</v>
      </c>
      <c r="H41" s="91">
        <f>1-(1-Crusader!F41)^1</f>
        <v>0</v>
      </c>
      <c r="J41" s="31"/>
      <c r="K41" s="94" t="s">
        <v>438</v>
      </c>
      <c r="L41" s="122">
        <f>Crusader!J41*1</f>
        <v>0.5</v>
      </c>
      <c r="M41" s="91">
        <f>1-(1-Crusader!J41)^1</f>
        <v>0.5</v>
      </c>
      <c r="O41" s="31"/>
      <c r="P41" s="94" t="s">
        <v>439</v>
      </c>
      <c r="Q41" s="122">
        <f>Crusader!O41*1</f>
        <v>0</v>
      </c>
      <c r="R41" s="91">
        <f>1-(1-Crusader!O41)^1</f>
        <v>0</v>
      </c>
      <c r="T41" s="21"/>
      <c r="U41" s="12"/>
      <c r="V41" s="12"/>
      <c r="W41" s="12"/>
      <c r="X41" s="12"/>
      <c r="Y41" s="12"/>
    </row>
    <row r="42" ht="15.0" customHeight="1">
      <c r="A42" s="92" t="s">
        <v>440</v>
      </c>
      <c r="B42" s="120">
        <f>Crusader!B42*1</f>
        <v>0</v>
      </c>
      <c r="C42" s="93">
        <f>1-(1-Crusader!B42)^1</f>
        <v>0</v>
      </c>
      <c r="E42" s="31"/>
      <c r="F42" s="92" t="s">
        <v>441</v>
      </c>
      <c r="G42" s="120">
        <f>Crusader!F42*1</f>
        <v>0.04</v>
      </c>
      <c r="H42" s="93">
        <f>1-(1-Crusader!F42)^1</f>
        <v>0.04</v>
      </c>
      <c r="J42" s="31"/>
      <c r="K42" s="92" t="s">
        <v>442</v>
      </c>
      <c r="L42" s="120">
        <f>Crusader!J42*1</f>
        <v>1.666666667</v>
      </c>
      <c r="M42" s="93">
        <f>1-(1-Crusader!J42)^1</f>
        <v>1.666666667</v>
      </c>
      <c r="O42" s="31"/>
      <c r="P42" s="92" t="s">
        <v>443</v>
      </c>
      <c r="Q42" s="120">
        <f>Crusader!O42*1</f>
        <v>0</v>
      </c>
      <c r="R42" s="93">
        <f>1-(1-Crusader!O42)^1</f>
        <v>0</v>
      </c>
      <c r="T42" s="21"/>
      <c r="U42" s="12"/>
      <c r="V42" s="12"/>
      <c r="W42" s="12"/>
      <c r="X42" s="12"/>
      <c r="Y42" s="12"/>
    </row>
    <row r="43" ht="15.0" customHeight="1">
      <c r="A43" s="71"/>
      <c r="B43" s="26"/>
      <c r="C43" s="26"/>
      <c r="D43" s="41"/>
      <c r="E43" s="10"/>
      <c r="F43" s="71"/>
      <c r="G43" s="26"/>
      <c r="H43" s="26"/>
      <c r="I43" s="41"/>
      <c r="J43" s="10"/>
      <c r="K43" s="71"/>
      <c r="L43" s="26"/>
      <c r="M43" s="26"/>
      <c r="N43" s="41"/>
      <c r="O43" s="10"/>
      <c r="P43" s="71"/>
      <c r="Q43" s="10"/>
      <c r="R43" s="10"/>
      <c r="S43" s="51"/>
      <c r="T43" s="12"/>
      <c r="U43" s="12"/>
      <c r="V43" s="12"/>
      <c r="W43" s="12"/>
      <c r="X43" s="12"/>
      <c r="Y43" s="12"/>
    </row>
    <row r="44" ht="15.75" customHeight="1">
      <c r="A44" s="28"/>
      <c r="B44" s="29" t="s">
        <v>338</v>
      </c>
      <c r="C44" s="29" t="s">
        <v>339</v>
      </c>
      <c r="D44" s="30" t="s">
        <v>444</v>
      </c>
      <c r="E44" s="31"/>
      <c r="F44" s="28"/>
      <c r="G44" s="29" t="s">
        <v>338</v>
      </c>
      <c r="H44" s="29" t="s">
        <v>339</v>
      </c>
      <c r="I44" s="30" t="s">
        <v>445</v>
      </c>
      <c r="J44" s="31"/>
      <c r="K44" s="28"/>
      <c r="L44" s="29" t="s">
        <v>338</v>
      </c>
      <c r="M44" s="29" t="s">
        <v>339</v>
      </c>
      <c r="N44" s="30" t="s">
        <v>446</v>
      </c>
      <c r="O44" s="31"/>
      <c r="P44" s="98"/>
      <c r="Q44" s="12"/>
      <c r="R44" s="12"/>
      <c r="S44" s="111"/>
      <c r="T44" s="12"/>
      <c r="U44" s="12"/>
      <c r="V44" s="12"/>
      <c r="W44" s="12"/>
      <c r="X44" s="12"/>
      <c r="Y44" s="12"/>
    </row>
    <row r="45" ht="17.25" customHeight="1">
      <c r="A45" s="87" t="s">
        <v>18</v>
      </c>
      <c r="B45" s="114">
        <f t="shared" ref="B45:C45" si="18">AVERAGE(B46:B51)</f>
        <v>0</v>
      </c>
      <c r="C45" s="88">
        <f t="shared" si="18"/>
        <v>0</v>
      </c>
      <c r="E45" s="31"/>
      <c r="F45" s="87" t="s">
        <v>18</v>
      </c>
      <c r="G45" s="114">
        <f t="shared" ref="G45:H45" si="19">AVERAGE(G46:G51)</f>
        <v>0</v>
      </c>
      <c r="H45" s="88">
        <f t="shared" si="19"/>
        <v>0</v>
      </c>
      <c r="J45" s="31"/>
      <c r="K45" s="87" t="s">
        <v>18</v>
      </c>
      <c r="L45" s="130">
        <f t="shared" ref="L45:M45" si="20">AVERAGE(L46:L51)</f>
        <v>0</v>
      </c>
      <c r="M45" s="131">
        <f t="shared" si="20"/>
        <v>0</v>
      </c>
      <c r="O45" s="31"/>
      <c r="P45" s="102"/>
      <c r="Q45" s="12"/>
      <c r="R45" s="12"/>
      <c r="S45" s="104"/>
      <c r="T45" s="12"/>
      <c r="U45" s="12"/>
      <c r="V45" s="12"/>
      <c r="W45" s="12"/>
      <c r="X45" s="12"/>
      <c r="Y45" s="12"/>
    </row>
    <row r="46" ht="15.0" customHeight="1">
      <c r="A46" s="89" t="s">
        <v>19</v>
      </c>
      <c r="B46" s="122">
        <f>Crusader!B46*1</f>
        <v>0</v>
      </c>
      <c r="C46" s="91">
        <f>1-(1-Crusader!B46)^1</f>
        <v>0</v>
      </c>
      <c r="E46" s="31"/>
      <c r="F46" s="89" t="s">
        <v>19</v>
      </c>
      <c r="G46" s="122">
        <f>Crusader!F46*1</f>
        <v>0</v>
      </c>
      <c r="H46" s="91">
        <f>1-(1-Crusader!F46)^1</f>
        <v>0</v>
      </c>
      <c r="J46" s="31"/>
      <c r="K46" s="89" t="s">
        <v>19</v>
      </c>
      <c r="L46" s="122">
        <f>Crusader!J46*1</f>
        <v>0</v>
      </c>
      <c r="M46" s="91">
        <f>1-(1-Crusader!J46)^1</f>
        <v>0</v>
      </c>
      <c r="O46" s="31"/>
      <c r="P46" s="105"/>
      <c r="Q46" s="12"/>
      <c r="R46" s="12"/>
      <c r="S46" s="104"/>
      <c r="T46" s="12"/>
      <c r="U46" s="12"/>
      <c r="V46" s="12"/>
      <c r="W46" s="12"/>
      <c r="X46" s="12"/>
      <c r="Y46" s="12"/>
    </row>
    <row r="47" ht="15.0" customHeight="1">
      <c r="A47" s="92" t="s">
        <v>447</v>
      </c>
      <c r="B47" s="120">
        <f>Crusader!B47*1</f>
        <v>0</v>
      </c>
      <c r="C47" s="93">
        <f>1-(1-Crusader!B47)^1</f>
        <v>0</v>
      </c>
      <c r="E47" s="31"/>
      <c r="F47" s="92" t="s">
        <v>448</v>
      </c>
      <c r="G47" s="120">
        <f>Crusader!F47*1</f>
        <v>0</v>
      </c>
      <c r="H47" s="93">
        <f>1-(1-Crusader!F47)^1</f>
        <v>0</v>
      </c>
      <c r="J47" s="31"/>
      <c r="K47" s="92" t="s">
        <v>449</v>
      </c>
      <c r="L47" s="120">
        <f>Crusader!J47*1</f>
        <v>0</v>
      </c>
      <c r="M47" s="93">
        <f>1-(1-Crusader!J47)^1</f>
        <v>0</v>
      </c>
      <c r="O47" s="31"/>
      <c r="P47" s="107"/>
      <c r="Q47" s="12"/>
      <c r="R47" s="12"/>
      <c r="S47" s="104"/>
      <c r="T47" s="12"/>
      <c r="U47" s="12"/>
      <c r="V47" s="12"/>
      <c r="W47" s="12"/>
      <c r="X47" s="12"/>
      <c r="Y47" s="12"/>
    </row>
    <row r="48" ht="15.0" customHeight="1">
      <c r="A48" s="94" t="s">
        <v>450</v>
      </c>
      <c r="B48" s="122">
        <f>Crusader!B48*1</f>
        <v>0</v>
      </c>
      <c r="C48" s="91">
        <f>1-(1-Crusader!B48)^1</f>
        <v>0</v>
      </c>
      <c r="E48" s="31"/>
      <c r="F48" s="94" t="s">
        <v>451</v>
      </c>
      <c r="G48" s="122">
        <f>Crusader!F48*1</f>
        <v>0</v>
      </c>
      <c r="H48" s="91">
        <f>1-(1-Crusader!F48)^1</f>
        <v>0</v>
      </c>
      <c r="J48" s="31"/>
      <c r="K48" s="94" t="s">
        <v>452</v>
      </c>
      <c r="L48" s="122">
        <f>Crusader!J48*1</f>
        <v>0</v>
      </c>
      <c r="M48" s="91">
        <f>1-(1-Crusader!J48)^1</f>
        <v>0</v>
      </c>
      <c r="O48" s="31"/>
      <c r="P48" s="109"/>
      <c r="Q48" s="12"/>
      <c r="R48" s="12"/>
      <c r="S48" s="104"/>
      <c r="T48" s="12"/>
      <c r="U48" s="12"/>
      <c r="V48" s="12"/>
      <c r="W48" s="12"/>
      <c r="X48" s="12"/>
      <c r="Y48" s="12"/>
    </row>
    <row r="49" ht="15.0" customHeight="1">
      <c r="A49" s="92" t="s">
        <v>453</v>
      </c>
      <c r="B49" s="120">
        <f>Crusader!B49*1</f>
        <v>0</v>
      </c>
      <c r="C49" s="93">
        <f>1-(1-Crusader!B49)^1</f>
        <v>0</v>
      </c>
      <c r="E49" s="31"/>
      <c r="F49" s="92" t="s">
        <v>454</v>
      </c>
      <c r="G49" s="120">
        <f>Crusader!F49*1</f>
        <v>0</v>
      </c>
      <c r="H49" s="93">
        <f>1-(1-Crusader!F49)^1</f>
        <v>0</v>
      </c>
      <c r="J49" s="31"/>
      <c r="K49" s="92" t="s">
        <v>455</v>
      </c>
      <c r="L49" s="120">
        <f>Crusader!J49*1</f>
        <v>0</v>
      </c>
      <c r="M49" s="93">
        <f>1-(1-Crusader!J49)^1</f>
        <v>0</v>
      </c>
      <c r="O49" s="31"/>
      <c r="P49" s="107"/>
      <c r="Q49" s="12"/>
      <c r="R49" s="12"/>
      <c r="S49" s="104"/>
      <c r="T49" s="12"/>
      <c r="U49" s="12"/>
      <c r="V49" s="12"/>
      <c r="W49" s="12"/>
      <c r="X49" s="12"/>
      <c r="Y49" s="12"/>
    </row>
    <row r="50" ht="15.0" customHeight="1">
      <c r="A50" s="94" t="s">
        <v>456</v>
      </c>
      <c r="B50" s="122">
        <f>Crusader!B50*1</f>
        <v>0</v>
      </c>
      <c r="C50" s="91">
        <f>1-(1-Crusader!B50)^1</f>
        <v>0</v>
      </c>
      <c r="E50" s="31"/>
      <c r="F50" s="94" t="s">
        <v>457</v>
      </c>
      <c r="G50" s="122">
        <f>Crusader!F50*1</f>
        <v>0</v>
      </c>
      <c r="H50" s="91">
        <f>1-(1-Crusader!F50)^1</f>
        <v>0</v>
      </c>
      <c r="J50" s="31"/>
      <c r="K50" s="94" t="s">
        <v>458</v>
      </c>
      <c r="L50" s="122">
        <f>Crusader!J50*1</f>
        <v>0</v>
      </c>
      <c r="M50" s="91">
        <f>1-(1-Crusader!J50)^1</f>
        <v>0</v>
      </c>
      <c r="O50" s="31"/>
      <c r="P50" s="109"/>
      <c r="Q50" s="12"/>
      <c r="R50" s="12"/>
      <c r="S50" s="104"/>
      <c r="T50" s="12"/>
      <c r="U50" s="12"/>
      <c r="V50" s="12"/>
      <c r="W50" s="12"/>
      <c r="X50" s="12"/>
      <c r="Y50" s="12"/>
    </row>
    <row r="51" ht="15.0" customHeight="1">
      <c r="A51" s="92" t="s">
        <v>459</v>
      </c>
      <c r="B51" s="120">
        <f>Crusader!B51*1</f>
        <v>0</v>
      </c>
      <c r="C51" s="93">
        <f>1-(1-Crusader!B51)^1</f>
        <v>0</v>
      </c>
      <c r="E51" s="31"/>
      <c r="F51" s="92" t="s">
        <v>460</v>
      </c>
      <c r="G51" s="120">
        <f>Crusader!F51*1</f>
        <v>0</v>
      </c>
      <c r="H51" s="93">
        <f>1-(1-Crusader!F51)^1</f>
        <v>0</v>
      </c>
      <c r="J51" s="31"/>
      <c r="K51" s="92" t="s">
        <v>461</v>
      </c>
      <c r="L51" s="120">
        <f>Crusader!J51*1</f>
        <v>0</v>
      </c>
      <c r="M51" s="93">
        <f>1-(1-Crusader!J51)^1</f>
        <v>0</v>
      </c>
      <c r="O51" s="31"/>
      <c r="P51" s="107"/>
      <c r="Q51" s="12"/>
      <c r="R51" s="12"/>
      <c r="S51" s="110"/>
      <c r="T51" s="12"/>
      <c r="U51" s="12"/>
      <c r="V51" s="12"/>
      <c r="W51" s="12"/>
      <c r="X51" s="12"/>
      <c r="Y51" s="12"/>
    </row>
    <row r="52" ht="15.0" customHeight="1">
      <c r="A52" s="71"/>
      <c r="B52" s="26"/>
      <c r="C52" s="26"/>
      <c r="D52" s="41"/>
      <c r="E52" s="10"/>
      <c r="F52" s="71"/>
      <c r="G52" s="26"/>
      <c r="H52" s="26"/>
      <c r="I52" s="41"/>
      <c r="J52" s="10"/>
      <c r="K52" s="71"/>
      <c r="L52" s="26"/>
      <c r="M52" s="26"/>
      <c r="N52" s="41"/>
      <c r="O52" s="10"/>
      <c r="P52" s="71"/>
      <c r="Q52" s="26"/>
      <c r="R52" s="26"/>
      <c r="S52" s="26"/>
      <c r="T52" s="12"/>
      <c r="U52" s="12"/>
      <c r="V52" s="12"/>
      <c r="W52" s="12"/>
      <c r="X52" s="12"/>
      <c r="Y52" s="12"/>
    </row>
    <row r="53" ht="15.75" customHeight="1">
      <c r="A53" s="28"/>
      <c r="B53" s="29" t="s">
        <v>338</v>
      </c>
      <c r="C53" s="29" t="s">
        <v>339</v>
      </c>
      <c r="D53" s="30" t="s">
        <v>463</v>
      </c>
      <c r="E53" s="31"/>
      <c r="F53" s="28"/>
      <c r="G53" s="29" t="s">
        <v>338</v>
      </c>
      <c r="H53" s="29" t="s">
        <v>339</v>
      </c>
      <c r="I53" s="30" t="s">
        <v>464</v>
      </c>
      <c r="J53" s="31"/>
      <c r="K53" s="28"/>
      <c r="L53" s="29" t="s">
        <v>338</v>
      </c>
      <c r="M53" s="29" t="s">
        <v>339</v>
      </c>
      <c r="N53" s="30" t="s">
        <v>465</v>
      </c>
      <c r="O53" s="31"/>
      <c r="P53" s="28"/>
      <c r="Q53" s="29" t="s">
        <v>338</v>
      </c>
      <c r="R53" s="29" t="s">
        <v>339</v>
      </c>
      <c r="S53" s="30" t="s">
        <v>466</v>
      </c>
      <c r="T53" s="21"/>
      <c r="U53" s="12"/>
      <c r="V53" s="12"/>
      <c r="W53" s="12"/>
      <c r="X53" s="12"/>
      <c r="Y53" s="12"/>
    </row>
    <row r="54" ht="17.25" customHeight="1">
      <c r="A54" s="87" t="s">
        <v>18</v>
      </c>
      <c r="B54" s="114">
        <f t="shared" ref="B54:C54" si="21">AVERAGE(B55:B60)</f>
        <v>0.7677777778</v>
      </c>
      <c r="C54" s="88">
        <f t="shared" si="21"/>
        <v>0.7677777778</v>
      </c>
      <c r="E54" s="31"/>
      <c r="F54" s="87" t="s">
        <v>18</v>
      </c>
      <c r="G54" s="114">
        <f t="shared" ref="G54:H54" si="22">AVERAGE(G55:G60)</f>
        <v>0.25</v>
      </c>
      <c r="H54" s="88">
        <f t="shared" si="22"/>
        <v>0.25</v>
      </c>
      <c r="J54" s="31"/>
      <c r="K54" s="87" t="s">
        <v>18</v>
      </c>
      <c r="L54" s="114">
        <f t="shared" ref="L54:M54" si="23">AVERAGE(L55:L60)</f>
        <v>0.3666666667</v>
      </c>
      <c r="M54" s="88">
        <f t="shared" si="23"/>
        <v>0.2570339506</v>
      </c>
      <c r="O54" s="31"/>
      <c r="P54" s="87" t="s">
        <v>18</v>
      </c>
      <c r="Q54" s="114">
        <f t="shared" ref="Q54:R54" si="24">AVERAGE(Q55:Q60)</f>
        <v>0.5666666667</v>
      </c>
      <c r="R54" s="88">
        <f t="shared" si="24"/>
        <v>0.5666666667</v>
      </c>
      <c r="T54" s="21"/>
      <c r="U54" s="12"/>
      <c r="V54" s="12"/>
      <c r="W54" s="12"/>
      <c r="X54" s="12"/>
      <c r="Y54" s="12"/>
    </row>
    <row r="55" ht="15.0" customHeight="1">
      <c r="A55" s="89" t="s">
        <v>19</v>
      </c>
      <c r="B55" s="122">
        <f>Crusader!B55*1</f>
        <v>1</v>
      </c>
      <c r="C55" s="91">
        <f>1-(1-Crusader!B55)^1</f>
        <v>1</v>
      </c>
      <c r="E55" s="31"/>
      <c r="F55" s="89" t="s">
        <v>19</v>
      </c>
      <c r="G55" s="122">
        <f>Crusader!F55*1</f>
        <v>0.25</v>
      </c>
      <c r="H55" s="91">
        <f>1-(1-Crusader!F55)^1</f>
        <v>0.25</v>
      </c>
      <c r="J55" s="31"/>
      <c r="K55" s="89" t="s">
        <v>19</v>
      </c>
      <c r="L55" s="122">
        <f>Crusader!J55*3</f>
        <v>0.15</v>
      </c>
      <c r="M55" s="91">
        <f>1-(1-Crusader!J55)^3</f>
        <v>0.142625</v>
      </c>
      <c r="O55" s="31"/>
      <c r="P55" s="89" t="s">
        <v>19</v>
      </c>
      <c r="Q55" s="122">
        <f>Crusader!N55*1</f>
        <v>0.48</v>
      </c>
      <c r="R55" s="91">
        <f>1-(1-Crusader!N55)^1</f>
        <v>0.48</v>
      </c>
      <c r="T55" s="21"/>
      <c r="U55" s="12"/>
      <c r="V55" s="12"/>
      <c r="W55" s="12"/>
      <c r="X55" s="12"/>
      <c r="Y55" s="12"/>
    </row>
    <row r="56" ht="15.0" customHeight="1">
      <c r="A56" s="92" t="s">
        <v>467</v>
      </c>
      <c r="B56" s="120">
        <f>(Crusader!B56+Crusader!C56)*1</f>
        <v>0.5066666667</v>
      </c>
      <c r="C56" s="93">
        <f>1-(1-(Crusader!B56+Crusader!C56))^1</f>
        <v>0.5066666667</v>
      </c>
      <c r="E56" s="31"/>
      <c r="F56" s="92" t="s">
        <v>468</v>
      </c>
      <c r="G56" s="120">
        <f>Crusader!F56*1</f>
        <v>0.25</v>
      </c>
      <c r="H56" s="93">
        <f>1-(1-Crusader!F56)^1</f>
        <v>0.25</v>
      </c>
      <c r="J56" s="31"/>
      <c r="K56" s="92" t="s">
        <v>469</v>
      </c>
      <c r="L56" s="120">
        <f>Crusader!J56*3</f>
        <v>0.15</v>
      </c>
      <c r="M56" s="93">
        <f>1-(1-Crusader!J56)^3</f>
        <v>0.142625</v>
      </c>
      <c r="O56" s="31"/>
      <c r="P56" s="92" t="s">
        <v>470</v>
      </c>
      <c r="Q56" s="120">
        <f>Crusader!N56*1</f>
        <v>0.48</v>
      </c>
      <c r="R56" s="93">
        <f>1-(1-Crusader!N56)^1</f>
        <v>0.48</v>
      </c>
      <c r="T56" s="21"/>
      <c r="U56" s="12"/>
      <c r="V56" s="12"/>
      <c r="W56" s="12"/>
      <c r="X56" s="12"/>
      <c r="Y56" s="12"/>
    </row>
    <row r="57" ht="15.0" customHeight="1">
      <c r="A57" s="94" t="s">
        <v>471</v>
      </c>
      <c r="B57" s="122">
        <f>(Crusader!B57+Crusader!C57)*1</f>
        <v>0.5833333333</v>
      </c>
      <c r="C57" s="91">
        <f>1-(1-(Crusader!B57+Crusader!C57))^1</f>
        <v>0.5833333333</v>
      </c>
      <c r="E57" s="31"/>
      <c r="F57" s="94" t="s">
        <v>472</v>
      </c>
      <c r="G57" s="122">
        <f>Crusader!F57*1</f>
        <v>0.25</v>
      </c>
      <c r="H57" s="91">
        <f>1-(1-Crusader!F57)^1</f>
        <v>0.25</v>
      </c>
      <c r="J57" s="31"/>
      <c r="K57" s="94" t="s">
        <v>473</v>
      </c>
      <c r="L57" s="122">
        <f>Crusader!J57*3</f>
        <v>0.15</v>
      </c>
      <c r="M57" s="91">
        <f>1-(1-Crusader!J57)^3</f>
        <v>0.142625</v>
      </c>
      <c r="O57" s="31"/>
      <c r="P57" s="94" t="s">
        <v>474</v>
      </c>
      <c r="Q57" s="122">
        <f>Crusader!N57*1</f>
        <v>0.48</v>
      </c>
      <c r="R57" s="91">
        <f>1-(1-Crusader!N57)^1</f>
        <v>0.48</v>
      </c>
      <c r="T57" s="21"/>
      <c r="U57" s="12"/>
      <c r="V57" s="12"/>
      <c r="W57" s="12"/>
      <c r="X57" s="12"/>
      <c r="Y57" s="12"/>
    </row>
    <row r="58" ht="15.0" customHeight="1">
      <c r="A58" s="92" t="s">
        <v>475</v>
      </c>
      <c r="B58" s="120">
        <f>Crusader!B58*1</f>
        <v>1</v>
      </c>
      <c r="C58" s="93">
        <f>1-(1-Crusader!B58)^1</f>
        <v>1</v>
      </c>
      <c r="E58" s="31"/>
      <c r="F58" s="92" t="s">
        <v>476</v>
      </c>
      <c r="G58" s="120">
        <f>Crusader!F58*1</f>
        <v>0.25</v>
      </c>
      <c r="H58" s="93">
        <f>1-(1-Crusader!F58)^1</f>
        <v>0.25</v>
      </c>
      <c r="J58" s="31"/>
      <c r="K58" s="92" t="s">
        <v>477</v>
      </c>
      <c r="L58" s="120">
        <f>Crusader!J58*3</f>
        <v>0.1</v>
      </c>
      <c r="M58" s="93">
        <f>1-(1-Crusader!J58)^3</f>
        <v>0.0967037037</v>
      </c>
      <c r="O58" s="31"/>
      <c r="P58" s="92" t="s">
        <v>478</v>
      </c>
      <c r="Q58" s="120">
        <f>Crusader!N58*1</f>
        <v>0.48</v>
      </c>
      <c r="R58" s="93">
        <f>1-(1-Crusader!N58)^1</f>
        <v>0.48</v>
      </c>
      <c r="T58" s="21"/>
      <c r="U58" s="12"/>
      <c r="V58" s="12"/>
      <c r="W58" s="12"/>
      <c r="X58" s="12"/>
      <c r="Y58" s="12"/>
    </row>
    <row r="59" ht="15.0" customHeight="1">
      <c r="A59" s="94" t="s">
        <v>479</v>
      </c>
      <c r="B59" s="122">
        <f>Crusader!B59*1</f>
        <v>1</v>
      </c>
      <c r="C59" s="91">
        <f>1-(1-Crusader!B59)^1</f>
        <v>1</v>
      </c>
      <c r="E59" s="31"/>
      <c r="F59" s="94" t="s">
        <v>480</v>
      </c>
      <c r="G59" s="122">
        <f>Crusader!F59*1</f>
        <v>0.25</v>
      </c>
      <c r="H59" s="91">
        <f>1-(1-Crusader!F59)^1</f>
        <v>0.25</v>
      </c>
      <c r="J59" s="31"/>
      <c r="K59" s="94" t="s">
        <v>481</v>
      </c>
      <c r="L59" s="122">
        <f>Crusader!J59*3</f>
        <v>0.15</v>
      </c>
      <c r="M59" s="91">
        <f>1-(1-Crusader!J59)^3</f>
        <v>0.142625</v>
      </c>
      <c r="O59" s="31"/>
      <c r="P59" s="94" t="s">
        <v>482</v>
      </c>
      <c r="Q59" s="122">
        <f>Crusader!N59*1</f>
        <v>1</v>
      </c>
      <c r="R59" s="91">
        <f>1-(1-Crusader!N59)^1</f>
        <v>1</v>
      </c>
      <c r="T59" s="21"/>
      <c r="U59" s="12"/>
      <c r="V59" s="12"/>
      <c r="W59" s="12"/>
      <c r="X59" s="12"/>
      <c r="Y59" s="12"/>
    </row>
    <row r="60" ht="15.0" customHeight="1">
      <c r="A60" s="92" t="s">
        <v>495</v>
      </c>
      <c r="B60" s="120">
        <f>Crusader!B60*1+Crusader!C60*2.5</f>
        <v>0.5166666667</v>
      </c>
      <c r="C60" s="93">
        <f>1-((1-(Crusader!B60+Crusader!C60*2.5))^1)</f>
        <v>0.5166666667</v>
      </c>
      <c r="E60" s="31"/>
      <c r="F60" s="92" t="s">
        <v>484</v>
      </c>
      <c r="G60" s="120">
        <f>Crusader!F60*1</f>
        <v>0.25</v>
      </c>
      <c r="H60" s="93">
        <f>1-(1-Crusader!F60)^1</f>
        <v>0.25</v>
      </c>
      <c r="J60" s="31"/>
      <c r="K60" s="92" t="s">
        <v>485</v>
      </c>
      <c r="L60" s="120">
        <f>Crusader!J60*3</f>
        <v>1.5</v>
      </c>
      <c r="M60" s="93">
        <f>1-(1-Crusader!J60)^3</f>
        <v>0.875</v>
      </c>
      <c r="O60" s="31"/>
      <c r="P60" s="92" t="s">
        <v>486</v>
      </c>
      <c r="Q60" s="120">
        <f>Crusader!N60*1</f>
        <v>0.48</v>
      </c>
      <c r="R60" s="93">
        <f>1-(1-Crusader!N60)^1</f>
        <v>0.48</v>
      </c>
      <c r="T60" s="21"/>
      <c r="U60" s="12"/>
      <c r="V60" s="12"/>
      <c r="W60" s="12"/>
      <c r="X60" s="12"/>
      <c r="Y60" s="12"/>
    </row>
    <row r="61" ht="15.0" customHeight="1">
      <c r="A61" s="12"/>
      <c r="B61" s="12"/>
      <c r="C61" s="12"/>
      <c r="D61" s="48"/>
      <c r="E61" s="12"/>
      <c r="F61" s="12"/>
      <c r="G61" s="12"/>
      <c r="H61" s="12"/>
      <c r="I61" s="48"/>
      <c r="J61" s="12"/>
      <c r="K61" s="12"/>
      <c r="L61" s="12"/>
      <c r="M61" s="12"/>
      <c r="N61" s="48"/>
      <c r="O61" s="12"/>
      <c r="P61" s="12"/>
      <c r="Q61" s="12"/>
      <c r="R61" s="12"/>
      <c r="S61" s="48"/>
      <c r="T61" s="12"/>
      <c r="U61" s="12"/>
      <c r="V61" s="12"/>
      <c r="W61" s="12"/>
      <c r="X61" s="12"/>
      <c r="Y61" s="12"/>
    </row>
    <row r="62" ht="15.0"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ht="15.0" customHeight="1">
      <c r="A63" s="53" t="s">
        <v>496</v>
      </c>
      <c r="U63" s="54"/>
      <c r="V63" s="54"/>
      <c r="W63" s="54"/>
      <c r="X63" s="54"/>
      <c r="Y63" s="54"/>
    </row>
    <row r="64" ht="15.0" customHeight="1">
      <c r="A64" s="53" t="s">
        <v>497</v>
      </c>
      <c r="U64" s="54"/>
      <c r="V64" s="54"/>
      <c r="W64" s="54"/>
      <c r="X64" s="54"/>
      <c r="Y64" s="54"/>
    </row>
    <row r="65" ht="15.0" customHeight="1">
      <c r="A65" s="55" t="s">
        <v>498</v>
      </c>
      <c r="U65" s="54"/>
      <c r="V65" s="54"/>
      <c r="W65" s="54"/>
      <c r="X65" s="54"/>
      <c r="Y65" s="54"/>
    </row>
    <row r="66" ht="15.0" customHeight="1">
      <c r="A66" s="55" t="s">
        <v>499</v>
      </c>
      <c r="U66" s="54"/>
      <c r="V66" s="54"/>
      <c r="W66" s="54"/>
      <c r="X66" s="54"/>
      <c r="Y66" s="54"/>
    </row>
    <row r="67" ht="15.0" customHeight="1">
      <c r="A67" s="132"/>
      <c r="U67" s="133"/>
      <c r="V67" s="133"/>
      <c r="W67" s="54"/>
      <c r="X67" s="54"/>
      <c r="Y67" s="54"/>
    </row>
  </sheetData>
  <mergeCells count="38">
    <mergeCell ref="A1:Y1"/>
    <mergeCell ref="A2:Y2"/>
    <mergeCell ref="A3:Y3"/>
    <mergeCell ref="B4:F4"/>
    <mergeCell ref="G4:I4"/>
    <mergeCell ref="B5:F5"/>
    <mergeCell ref="G5:K6"/>
    <mergeCell ref="S8:S15"/>
    <mergeCell ref="S17:S24"/>
    <mergeCell ref="X17:X24"/>
    <mergeCell ref="S26:S33"/>
    <mergeCell ref="S35:S42"/>
    <mergeCell ref="S44:S51"/>
    <mergeCell ref="S53:S60"/>
    <mergeCell ref="I17:I24"/>
    <mergeCell ref="I26:I33"/>
    <mergeCell ref="I35:I42"/>
    <mergeCell ref="I44:I51"/>
    <mergeCell ref="I53:I60"/>
    <mergeCell ref="D26:D33"/>
    <mergeCell ref="D35:D42"/>
    <mergeCell ref="D44:D51"/>
    <mergeCell ref="D53:D60"/>
    <mergeCell ref="N35:N42"/>
    <mergeCell ref="N44:N51"/>
    <mergeCell ref="N53:N60"/>
    <mergeCell ref="A63:T63"/>
    <mergeCell ref="A64:T64"/>
    <mergeCell ref="A65:T65"/>
    <mergeCell ref="A66:T66"/>
    <mergeCell ref="A67:T67"/>
    <mergeCell ref="B6:F6"/>
    <mergeCell ref="D8:D15"/>
    <mergeCell ref="I8:I15"/>
    <mergeCell ref="N8:N15"/>
    <mergeCell ref="D17:D24"/>
    <mergeCell ref="N17:N24"/>
    <mergeCell ref="N26:N33"/>
  </mergeCells>
  <hyperlinks>
    <hyperlink r:id="rId1" ref="G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0.75"/>
    <col customWidth="1" min="2" max="2" width="8.75"/>
    <col customWidth="1" min="3" max="3" width="11.13"/>
    <col customWidth="1" min="4" max="4" width="8.75"/>
    <col customWidth="1" min="5" max="5" width="17.0"/>
    <col customWidth="1" min="6" max="8" width="8.75"/>
    <col customWidth="1" min="9" max="9" width="18.75"/>
    <col customWidth="1" min="10" max="12" width="8.75"/>
    <col customWidth="1" min="13" max="13" width="21.0"/>
    <col customWidth="1" min="14" max="16" width="8.75"/>
    <col customWidth="1" min="17" max="17" width="19.75"/>
    <col customWidth="1" min="18" max="18" width="10.0"/>
    <col customWidth="1" min="19" max="19" width="9.38"/>
    <col customWidth="1" min="20" max="25" width="8.75"/>
  </cols>
  <sheetData>
    <row r="1" ht="21.75" customHeight="1">
      <c r="A1" s="66" t="str">
        <f>Barb!A1</f>
        <v>- OUTDATED -
</v>
      </c>
    </row>
    <row r="2" ht="21.7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1.75" customHeight="1">
      <c r="A3" s="4"/>
      <c r="B3" s="4"/>
      <c r="C3" s="4"/>
      <c r="D3" s="4"/>
      <c r="E3" s="4"/>
      <c r="F3" s="4"/>
      <c r="G3" s="4"/>
      <c r="H3" s="4"/>
      <c r="I3" s="4"/>
      <c r="J3" s="4"/>
      <c r="K3" s="4"/>
      <c r="L3" s="4"/>
      <c r="M3" s="4"/>
      <c r="N3" s="4"/>
      <c r="O3" s="4"/>
      <c r="P3" s="4"/>
      <c r="Q3" s="4"/>
      <c r="R3" s="4"/>
      <c r="S3" s="4"/>
      <c r="T3" s="4"/>
      <c r="U3" s="4"/>
      <c r="V3" s="4"/>
      <c r="W3" s="4"/>
      <c r="X3" s="4"/>
      <c r="Y3" s="4"/>
    </row>
    <row r="4" ht="21.75" customHeight="1">
      <c r="A4" s="80" t="str">
        <f>Barb!A4</f>
        <v>100% tested (2.0.6)</v>
      </c>
      <c r="B4" s="81" t="str">
        <f>Barb!B4</f>
        <v>Proc Coefficients</v>
      </c>
      <c r="C4" s="7"/>
      <c r="D4" s="7"/>
      <c r="E4" s="7"/>
      <c r="F4" s="8"/>
      <c r="G4" s="70" t="str">
        <f>Barb!G4</f>
        <v>Downloadable Sheet:</v>
      </c>
      <c r="H4" s="7"/>
      <c r="I4" s="8"/>
      <c r="J4" s="10"/>
      <c r="K4" s="10"/>
      <c r="L4" s="10"/>
      <c r="M4" s="82" t="str">
        <f>Barb!M4</f>
        <v>Donate</v>
      </c>
      <c r="N4" s="10"/>
      <c r="O4" s="12"/>
      <c r="P4" s="12"/>
      <c r="Q4" s="12"/>
      <c r="R4" s="12"/>
      <c r="S4" s="12"/>
      <c r="T4" s="12"/>
      <c r="U4" s="13"/>
      <c r="V4" s="7"/>
      <c r="W4" s="7"/>
      <c r="X4" s="7"/>
      <c r="Y4" s="7"/>
    </row>
    <row r="5" ht="15.75" customHeight="1">
      <c r="A5" s="83" t="str">
        <f>Barb!A5</f>
        <v>Updated: 7/10/14</v>
      </c>
      <c r="B5" s="134" t="str">
        <f>Barb!B5</f>
        <v>(per hit/tick)</v>
      </c>
      <c r="C5" s="7"/>
      <c r="D5" s="7"/>
      <c r="E5" s="7"/>
      <c r="F5" s="8"/>
      <c r="G5" s="74" t="s">
        <v>8</v>
      </c>
      <c r="H5" s="17"/>
      <c r="I5" s="17"/>
      <c r="J5" s="18"/>
      <c r="K5" s="10"/>
      <c r="L5" s="10"/>
      <c r="M5" s="19" t="s">
        <v>9</v>
      </c>
      <c r="N5" s="20" t="s">
        <v>10</v>
      </c>
      <c r="O5" s="12"/>
      <c r="P5" s="12"/>
      <c r="Q5" s="12"/>
      <c r="R5" s="12"/>
      <c r="S5" s="12"/>
      <c r="T5" s="12"/>
      <c r="U5" s="13"/>
      <c r="V5" s="7"/>
      <c r="W5" s="7"/>
      <c r="X5" s="7"/>
      <c r="Y5" s="7"/>
    </row>
    <row r="6" ht="24.75" customHeight="1">
      <c r="A6" s="21"/>
      <c r="B6" s="135" t="s">
        <v>500</v>
      </c>
      <c r="C6" s="7"/>
      <c r="D6" s="7"/>
      <c r="E6" s="7"/>
      <c r="F6" s="8"/>
      <c r="G6" s="23"/>
      <c r="H6" s="4"/>
      <c r="I6" s="4"/>
      <c r="J6" s="24"/>
      <c r="K6" s="10"/>
      <c r="L6" s="10"/>
      <c r="M6" s="25" t="s">
        <v>501</v>
      </c>
      <c r="N6" s="10"/>
      <c r="O6" s="12"/>
      <c r="P6" s="12"/>
      <c r="Q6" s="12"/>
      <c r="R6" s="12"/>
      <c r="S6" s="12"/>
      <c r="T6" s="12"/>
      <c r="U6" s="13"/>
      <c r="V6" s="7"/>
      <c r="W6" s="7"/>
      <c r="X6" s="7"/>
      <c r="Y6" s="7"/>
    </row>
    <row r="7" ht="15.0" customHeight="1">
      <c r="A7" s="10"/>
      <c r="B7" s="26"/>
      <c r="C7" s="26"/>
      <c r="D7" s="10"/>
      <c r="E7" s="10"/>
      <c r="F7" s="26"/>
      <c r="G7" s="26"/>
      <c r="H7" s="10"/>
      <c r="I7" s="10"/>
      <c r="J7" s="26"/>
      <c r="K7" s="26"/>
      <c r="L7" s="10"/>
      <c r="M7" s="10"/>
      <c r="N7" s="26"/>
      <c r="O7" s="27"/>
      <c r="P7" s="12"/>
      <c r="Q7" s="12"/>
      <c r="R7" s="27"/>
      <c r="S7" s="27"/>
      <c r="T7" s="27"/>
      <c r="U7" s="13"/>
      <c r="V7" s="7"/>
      <c r="W7" s="7"/>
      <c r="X7" s="7"/>
      <c r="Y7" s="7"/>
    </row>
    <row r="8" ht="15.0" customHeight="1">
      <c r="A8" s="28"/>
      <c r="B8" s="29" t="s">
        <v>13</v>
      </c>
      <c r="C8" s="30" t="s">
        <v>502</v>
      </c>
      <c r="D8" s="31"/>
      <c r="E8" s="28"/>
      <c r="F8" s="29" t="s">
        <v>13</v>
      </c>
      <c r="G8" s="30" t="s">
        <v>503</v>
      </c>
      <c r="H8" s="31"/>
      <c r="I8" s="28"/>
      <c r="J8" s="29" t="s">
        <v>13</v>
      </c>
      <c r="K8" s="30" t="s">
        <v>504</v>
      </c>
      <c r="L8" s="31"/>
      <c r="M8" s="28"/>
      <c r="N8" s="29" t="s">
        <v>13</v>
      </c>
      <c r="O8" s="30" t="s">
        <v>505</v>
      </c>
      <c r="P8" s="21"/>
      <c r="Q8" s="28"/>
      <c r="R8" s="29" t="s">
        <v>13</v>
      </c>
      <c r="S8" s="136" t="s">
        <v>506</v>
      </c>
      <c r="T8" s="43" t="s">
        <v>507</v>
      </c>
      <c r="U8" s="96"/>
      <c r="V8" s="7"/>
      <c r="W8" s="7"/>
      <c r="X8" s="7"/>
      <c r="Y8" s="7"/>
    </row>
    <row r="9" ht="17.25" customHeight="1">
      <c r="A9" s="137" t="s">
        <v>18</v>
      </c>
      <c r="B9" s="138">
        <f>AVERAGE(B10:B15)</f>
        <v>0.6232905983</v>
      </c>
      <c r="D9" s="31"/>
      <c r="E9" s="137" t="s">
        <v>18</v>
      </c>
      <c r="F9" s="138">
        <f>AVERAGE(F10:F15)</f>
        <v>0.9</v>
      </c>
      <c r="H9" s="31"/>
      <c r="I9" s="137" t="s">
        <v>18</v>
      </c>
      <c r="J9" s="138">
        <f>AVERAGE(J10:J15)</f>
        <v>0.3888888889</v>
      </c>
      <c r="L9" s="31"/>
      <c r="M9" s="137" t="s">
        <v>18</v>
      </c>
      <c r="N9" s="138">
        <f>AVERAGE(N10:N15)</f>
        <v>0.3240740741</v>
      </c>
      <c r="P9" s="21"/>
      <c r="Q9" s="137" t="s">
        <v>18</v>
      </c>
      <c r="R9" s="139">
        <f>AVERAGE(R10:R15)</f>
        <v>0.469092827</v>
      </c>
      <c r="S9" s="138"/>
      <c r="U9" s="96"/>
      <c r="V9" s="7"/>
      <c r="W9" s="7"/>
      <c r="X9" s="7"/>
      <c r="Y9" s="7"/>
    </row>
    <row r="10" ht="15.0" customHeight="1">
      <c r="A10" s="140" t="s">
        <v>19</v>
      </c>
      <c r="B10" s="141">
        <f>13/20</f>
        <v>0.65</v>
      </c>
      <c r="D10" s="31"/>
      <c r="E10" s="140" t="s">
        <v>19</v>
      </c>
      <c r="F10" s="142">
        <v>1.0</v>
      </c>
      <c r="H10" s="31"/>
      <c r="I10" s="140" t="s">
        <v>19</v>
      </c>
      <c r="J10" s="141">
        <f>2/5</f>
        <v>0.4</v>
      </c>
      <c r="L10" s="31"/>
      <c r="M10" s="140" t="s">
        <v>19</v>
      </c>
      <c r="N10" s="141">
        <f t="shared" ref="N10:N11" si="1">1/3</f>
        <v>0.3333333333</v>
      </c>
      <c r="P10" s="21"/>
      <c r="Q10" s="140" t="s">
        <v>19</v>
      </c>
      <c r="R10" s="143">
        <f t="shared" ref="R10:R11" si="2">2/3</f>
        <v>0.6666666667</v>
      </c>
      <c r="S10" s="141"/>
      <c r="U10" s="96"/>
      <c r="V10" s="7"/>
      <c r="W10" s="7"/>
      <c r="X10" s="7"/>
      <c r="Y10" s="7"/>
    </row>
    <row r="11" ht="15.0" customHeight="1">
      <c r="A11" s="144" t="s">
        <v>508</v>
      </c>
      <c r="B11" s="145">
        <f>11/20</f>
        <v>0.55</v>
      </c>
      <c r="D11" s="31"/>
      <c r="E11" s="144" t="s">
        <v>509</v>
      </c>
      <c r="F11" s="146">
        <v>1.0</v>
      </c>
      <c r="H11" s="31"/>
      <c r="I11" s="144" t="s">
        <v>510</v>
      </c>
      <c r="J11" s="145">
        <f>1/3</f>
        <v>0.3333333333</v>
      </c>
      <c r="L11" s="31"/>
      <c r="M11" s="144" t="s">
        <v>511</v>
      </c>
      <c r="N11" s="145">
        <f t="shared" si="1"/>
        <v>0.3333333333</v>
      </c>
      <c r="P11" s="21"/>
      <c r="Q11" s="144" t="s">
        <v>512</v>
      </c>
      <c r="R11" s="147">
        <f t="shared" si="2"/>
        <v>0.6666666667</v>
      </c>
      <c r="S11" s="145"/>
      <c r="U11" s="96"/>
      <c r="V11" s="7"/>
      <c r="W11" s="7"/>
      <c r="X11" s="7"/>
      <c r="Y11" s="7"/>
    </row>
    <row r="12" ht="15.0" customHeight="1">
      <c r="A12" s="148" t="s">
        <v>513</v>
      </c>
      <c r="B12" s="141">
        <f>13/20</f>
        <v>0.65</v>
      </c>
      <c r="D12" s="31"/>
      <c r="E12" s="148" t="s">
        <v>514</v>
      </c>
      <c r="F12" s="141">
        <f>2/5</f>
        <v>0.4</v>
      </c>
      <c r="H12" s="31"/>
      <c r="I12" s="148" t="s">
        <v>515</v>
      </c>
      <c r="J12" s="141">
        <f t="shared" ref="J12:J15" si="3">2/5</f>
        <v>0.4</v>
      </c>
      <c r="L12" s="31"/>
      <c r="M12" s="148" t="s">
        <v>516</v>
      </c>
      <c r="N12" s="141">
        <f>5/18</f>
        <v>0.2777777778</v>
      </c>
      <c r="P12" s="21"/>
      <c r="Q12" s="148" t="s">
        <v>517</v>
      </c>
      <c r="R12" s="143">
        <f>1/4</f>
        <v>0.25</v>
      </c>
      <c r="S12" s="141"/>
      <c r="U12" s="96"/>
      <c r="V12" s="7"/>
      <c r="W12" s="7"/>
      <c r="X12" s="7"/>
      <c r="Y12" s="7"/>
    </row>
    <row r="13" ht="15.0" customHeight="1">
      <c r="A13" s="144" t="s">
        <v>518</v>
      </c>
      <c r="B13" s="145">
        <f>23/39</f>
        <v>0.5897435897</v>
      </c>
      <c r="D13" s="31"/>
      <c r="E13" s="144" t="s">
        <v>519</v>
      </c>
      <c r="F13" s="146">
        <v>1.0</v>
      </c>
      <c r="H13" s="31"/>
      <c r="I13" s="144" t="s">
        <v>520</v>
      </c>
      <c r="J13" s="145">
        <f t="shared" si="3"/>
        <v>0.4</v>
      </c>
      <c r="L13" s="31"/>
      <c r="M13" s="144" t="s">
        <v>521</v>
      </c>
      <c r="N13" s="145">
        <f t="shared" ref="N13:N15" si="4">1/3</f>
        <v>0.3333333333</v>
      </c>
      <c r="P13" s="21"/>
      <c r="Q13" s="144" t="s">
        <v>522</v>
      </c>
      <c r="R13" s="147">
        <f>2/5</f>
        <v>0.4</v>
      </c>
      <c r="S13" s="145"/>
      <c r="U13" s="96"/>
      <c r="V13" s="7"/>
      <c r="W13" s="7"/>
      <c r="X13" s="7"/>
      <c r="Y13" s="7"/>
    </row>
    <row r="14" ht="15.0" customHeight="1">
      <c r="A14" s="148" t="s">
        <v>523</v>
      </c>
      <c r="B14" s="141">
        <f t="shared" ref="B14:B15" si="5">13/20</f>
        <v>0.65</v>
      </c>
      <c r="D14" s="31"/>
      <c r="E14" s="148" t="s">
        <v>524</v>
      </c>
      <c r="F14" s="142">
        <v>1.0</v>
      </c>
      <c r="H14" s="31"/>
      <c r="I14" s="148" t="s">
        <v>525</v>
      </c>
      <c r="J14" s="141">
        <f t="shared" si="3"/>
        <v>0.4</v>
      </c>
      <c r="L14" s="31"/>
      <c r="M14" s="148" t="s">
        <v>526</v>
      </c>
      <c r="N14" s="141">
        <f t="shared" si="4"/>
        <v>0.3333333333</v>
      </c>
      <c r="P14" s="21"/>
      <c r="Q14" s="148" t="s">
        <v>527</v>
      </c>
      <c r="R14" s="143">
        <f>2/3</f>
        <v>0.6666666667</v>
      </c>
      <c r="S14" s="141"/>
      <c r="U14" s="96"/>
      <c r="V14" s="7"/>
      <c r="W14" s="7"/>
      <c r="X14" s="7"/>
      <c r="Y14" s="7"/>
    </row>
    <row r="15" ht="15.0" customHeight="1">
      <c r="A15" s="144" t="s">
        <v>528</v>
      </c>
      <c r="B15" s="145">
        <f t="shared" si="5"/>
        <v>0.65</v>
      </c>
      <c r="D15" s="31"/>
      <c r="E15" s="144" t="s">
        <v>529</v>
      </c>
      <c r="F15" s="146">
        <v>1.0</v>
      </c>
      <c r="H15" s="31"/>
      <c r="I15" s="144" t="s">
        <v>530</v>
      </c>
      <c r="J15" s="145">
        <f t="shared" si="3"/>
        <v>0.4</v>
      </c>
      <c r="L15" s="31"/>
      <c r="M15" s="144" t="s">
        <v>358</v>
      </c>
      <c r="N15" s="145">
        <f t="shared" si="4"/>
        <v>0.3333333333</v>
      </c>
      <c r="P15" s="21"/>
      <c r="Q15" s="144" t="s">
        <v>531</v>
      </c>
      <c r="R15" s="147">
        <f t="shared" ref="R15:S15" si="6">13/79</f>
        <v>0.164556962</v>
      </c>
      <c r="S15" s="145">
        <f t="shared" si="6"/>
        <v>0.164556962</v>
      </c>
      <c r="U15" s="96"/>
      <c r="V15" s="7"/>
      <c r="W15" s="7"/>
      <c r="X15" s="7"/>
      <c r="Y15" s="7"/>
    </row>
    <row r="16" ht="15.0" customHeight="1">
      <c r="A16" s="10"/>
      <c r="B16" s="26"/>
      <c r="C16" s="41"/>
      <c r="D16" s="10"/>
      <c r="E16" s="10"/>
      <c r="F16" s="26"/>
      <c r="G16" s="41"/>
      <c r="H16" s="10"/>
      <c r="I16" s="10"/>
      <c r="J16" s="26"/>
      <c r="K16" s="41"/>
      <c r="L16" s="10"/>
      <c r="M16" s="10"/>
      <c r="N16" s="26"/>
      <c r="O16" s="42"/>
      <c r="P16" s="12"/>
      <c r="Q16" s="12"/>
      <c r="R16" s="12"/>
      <c r="S16" s="12"/>
      <c r="T16" s="48"/>
      <c r="U16" s="13"/>
      <c r="V16" s="7"/>
      <c r="W16" s="7"/>
      <c r="X16" s="7"/>
      <c r="Y16" s="7"/>
    </row>
    <row r="17" ht="15.75" customHeight="1">
      <c r="A17" s="113"/>
      <c r="B17" s="29" t="s">
        <v>13</v>
      </c>
      <c r="C17" s="30" t="s">
        <v>532</v>
      </c>
      <c r="D17" s="31"/>
      <c r="E17" s="28"/>
      <c r="F17" s="29" t="s">
        <v>13</v>
      </c>
      <c r="G17" s="30" t="s">
        <v>533</v>
      </c>
      <c r="H17" s="31"/>
      <c r="I17" s="28"/>
      <c r="J17" s="29" t="s">
        <v>13</v>
      </c>
      <c r="K17" s="30" t="s">
        <v>534</v>
      </c>
      <c r="L17" s="31"/>
      <c r="M17" s="28"/>
      <c r="N17" s="29" t="s">
        <v>13</v>
      </c>
      <c r="O17" s="43" t="s">
        <v>535</v>
      </c>
      <c r="P17" s="21"/>
      <c r="Q17" s="12"/>
      <c r="R17" s="12"/>
      <c r="S17" s="12"/>
      <c r="T17" s="12"/>
      <c r="U17" s="13"/>
      <c r="V17" s="7"/>
      <c r="W17" s="7"/>
      <c r="X17" s="7"/>
      <c r="Y17" s="7"/>
    </row>
    <row r="18" ht="17.25" customHeight="1">
      <c r="A18" s="149" t="s">
        <v>18</v>
      </c>
      <c r="B18" s="138">
        <f>AVERAGE(B19:B24)</f>
        <v>0.8</v>
      </c>
      <c r="D18" s="31"/>
      <c r="E18" s="137" t="s">
        <v>18</v>
      </c>
      <c r="F18" s="138">
        <f>AVERAGE(F19:F24)</f>
        <v>0.1388888889</v>
      </c>
      <c r="H18" s="31"/>
      <c r="I18" s="137" t="s">
        <v>18</v>
      </c>
      <c r="J18" s="138">
        <f>AVERAGE(J19:J24)</f>
        <v>0.3805555556</v>
      </c>
      <c r="L18" s="31"/>
      <c r="M18" s="137" t="s">
        <v>18</v>
      </c>
      <c r="N18" s="138">
        <f>AVERAGE(N19:N24)</f>
        <v>0.4305555556</v>
      </c>
      <c r="P18" s="21"/>
      <c r="Q18" s="12"/>
      <c r="R18" s="12"/>
      <c r="S18" s="12"/>
      <c r="T18" s="12"/>
      <c r="U18" s="13"/>
      <c r="V18" s="7"/>
      <c r="W18" s="7"/>
      <c r="X18" s="7"/>
      <c r="Y18" s="7"/>
    </row>
    <row r="19" ht="15.0" customHeight="1">
      <c r="A19" s="150" t="s">
        <v>19</v>
      </c>
      <c r="B19" s="142">
        <v>1.0</v>
      </c>
      <c r="D19" s="151"/>
      <c r="E19" s="140" t="s">
        <v>19</v>
      </c>
      <c r="F19" s="141">
        <f t="shared" ref="F19:F22" si="7">1/6</f>
        <v>0.1666666667</v>
      </c>
      <c r="H19" s="31"/>
      <c r="I19" s="140" t="s">
        <v>19</v>
      </c>
      <c r="J19" s="141">
        <f>1/2</f>
        <v>0.5</v>
      </c>
      <c r="L19" s="31"/>
      <c r="M19" s="140" t="s">
        <v>19</v>
      </c>
      <c r="N19" s="141">
        <f>1/2</f>
        <v>0.5</v>
      </c>
      <c r="P19" s="21"/>
      <c r="Q19" s="12"/>
      <c r="R19" s="12"/>
      <c r="S19" s="12"/>
      <c r="T19" s="12"/>
      <c r="U19" s="13"/>
      <c r="V19" s="7"/>
      <c r="W19" s="7"/>
      <c r="X19" s="7"/>
      <c r="Y19" s="7"/>
    </row>
    <row r="20" ht="15.0" customHeight="1">
      <c r="A20" s="152" t="s">
        <v>536</v>
      </c>
      <c r="B20" s="146">
        <v>1.0</v>
      </c>
      <c r="D20" s="31"/>
      <c r="E20" s="144" t="s">
        <v>537</v>
      </c>
      <c r="F20" s="145">
        <f t="shared" si="7"/>
        <v>0.1666666667</v>
      </c>
      <c r="H20" s="31"/>
      <c r="I20" s="144" t="s">
        <v>538</v>
      </c>
      <c r="J20" s="145">
        <f>1/3</f>
        <v>0.3333333333</v>
      </c>
      <c r="L20" s="31"/>
      <c r="M20" s="144" t="s">
        <v>539</v>
      </c>
      <c r="N20" s="145">
        <f>1/4</f>
        <v>0.25</v>
      </c>
      <c r="P20" s="21"/>
      <c r="Q20" s="12"/>
      <c r="R20" s="12"/>
      <c r="S20" s="12"/>
      <c r="T20" s="12"/>
      <c r="U20" s="13"/>
      <c r="V20" s="7"/>
      <c r="W20" s="7"/>
      <c r="X20" s="7"/>
      <c r="Y20" s="7"/>
    </row>
    <row r="21" ht="15.0" customHeight="1">
      <c r="A21" s="153" t="s">
        <v>540</v>
      </c>
      <c r="B21" s="142">
        <v>1.0</v>
      </c>
      <c r="D21" s="31"/>
      <c r="E21" s="148" t="s">
        <v>541</v>
      </c>
      <c r="F21" s="141">
        <f t="shared" si="7"/>
        <v>0.1666666667</v>
      </c>
      <c r="H21" s="31"/>
      <c r="I21" s="148" t="s">
        <v>542</v>
      </c>
      <c r="J21" s="141">
        <f>1/2</f>
        <v>0.5</v>
      </c>
      <c r="L21" s="31"/>
      <c r="M21" s="148" t="s">
        <v>543</v>
      </c>
      <c r="N21" s="141">
        <f>1/3</f>
        <v>0.3333333333</v>
      </c>
      <c r="P21" s="21"/>
      <c r="Q21" s="12"/>
      <c r="R21" s="12"/>
      <c r="S21" s="12"/>
      <c r="T21" s="12"/>
      <c r="U21" s="13"/>
      <c r="V21" s="7"/>
      <c r="W21" s="7"/>
      <c r="X21" s="7"/>
      <c r="Y21" s="7"/>
    </row>
    <row r="22" ht="15.0" customHeight="1">
      <c r="A22" s="152" t="s">
        <v>544</v>
      </c>
      <c r="B22" s="145">
        <f t="shared" ref="B22:B23" si="8">2/5</f>
        <v>0.4</v>
      </c>
      <c r="D22" s="31"/>
      <c r="E22" s="144" t="s">
        <v>545</v>
      </c>
      <c r="F22" s="145">
        <f t="shared" si="7"/>
        <v>0.1666666667</v>
      </c>
      <c r="H22" s="31"/>
      <c r="I22" s="144" t="s">
        <v>546</v>
      </c>
      <c r="J22" s="145">
        <f>2/5</f>
        <v>0.4</v>
      </c>
      <c r="L22" s="31"/>
      <c r="M22" s="144" t="s">
        <v>547</v>
      </c>
      <c r="N22" s="145">
        <f t="shared" ref="N22:N24" si="9">1/2</f>
        <v>0.5</v>
      </c>
      <c r="P22" s="21"/>
      <c r="Q22" s="12"/>
      <c r="R22" s="12"/>
      <c r="S22" s="12"/>
      <c r="T22" s="12"/>
      <c r="U22" s="13"/>
      <c r="V22" s="7"/>
      <c r="W22" s="7"/>
      <c r="X22" s="7"/>
      <c r="Y22" s="7"/>
    </row>
    <row r="23" ht="15.0" customHeight="1">
      <c r="A23" s="153" t="s">
        <v>27</v>
      </c>
      <c r="B23" s="141">
        <f t="shared" si="8"/>
        <v>0.4</v>
      </c>
      <c r="D23" s="31"/>
      <c r="E23" s="148" t="s">
        <v>548</v>
      </c>
      <c r="F23" s="141">
        <f>1/18</f>
        <v>0.05555555556</v>
      </c>
      <c r="H23" s="31"/>
      <c r="I23" s="148" t="s">
        <v>549</v>
      </c>
      <c r="J23" s="141">
        <f>1/2</f>
        <v>0.5</v>
      </c>
      <c r="L23" s="31"/>
      <c r="M23" s="148" t="s">
        <v>550</v>
      </c>
      <c r="N23" s="141">
        <f t="shared" si="9"/>
        <v>0.5</v>
      </c>
      <c r="P23" s="21"/>
      <c r="Q23" s="12"/>
      <c r="R23" s="12"/>
      <c r="S23" s="12"/>
      <c r="T23" s="12"/>
      <c r="U23" s="13"/>
      <c r="V23" s="7"/>
      <c r="W23" s="7"/>
      <c r="X23" s="7"/>
      <c r="Y23" s="7"/>
    </row>
    <row r="24" ht="15.0" customHeight="1">
      <c r="A24" s="152" t="s">
        <v>551</v>
      </c>
      <c r="B24" s="146">
        <v>1.0</v>
      </c>
      <c r="D24" s="31"/>
      <c r="E24" s="144" t="s">
        <v>466</v>
      </c>
      <c r="F24" s="145">
        <f>1/9</f>
        <v>0.1111111111</v>
      </c>
      <c r="H24" s="31"/>
      <c r="I24" s="144" t="s">
        <v>552</v>
      </c>
      <c r="J24" s="145">
        <f>1/20</f>
        <v>0.05</v>
      </c>
      <c r="L24" s="31"/>
      <c r="M24" s="144" t="s">
        <v>553</v>
      </c>
      <c r="N24" s="145">
        <f t="shared" si="9"/>
        <v>0.5</v>
      </c>
      <c r="P24" s="21"/>
      <c r="Q24" s="12"/>
      <c r="R24" s="12"/>
      <c r="S24" s="12"/>
      <c r="T24" s="12"/>
      <c r="U24" s="13"/>
      <c r="V24" s="7"/>
      <c r="W24" s="7"/>
      <c r="X24" s="7"/>
      <c r="Y24" s="7"/>
    </row>
    <row r="25" ht="15.0" customHeight="1">
      <c r="A25" s="10"/>
      <c r="B25" s="26"/>
      <c r="C25" s="41"/>
      <c r="D25" s="10"/>
      <c r="E25" s="10"/>
      <c r="F25" s="26"/>
      <c r="G25" s="41"/>
      <c r="H25" s="10"/>
      <c r="I25" s="10"/>
      <c r="J25" s="26"/>
      <c r="K25" s="41"/>
      <c r="L25" s="10"/>
      <c r="M25" s="10"/>
      <c r="N25" s="10"/>
      <c r="O25" s="48"/>
      <c r="P25" s="12"/>
      <c r="Q25" s="12"/>
      <c r="R25" s="12"/>
      <c r="S25" s="12"/>
      <c r="T25" s="12"/>
      <c r="U25" s="13"/>
      <c r="V25" s="7"/>
      <c r="W25" s="7"/>
      <c r="X25" s="7"/>
      <c r="Y25" s="7"/>
    </row>
    <row r="26" ht="15.75" customHeight="1">
      <c r="A26" s="113"/>
      <c r="B26" s="29" t="s">
        <v>13</v>
      </c>
      <c r="C26" s="30" t="s">
        <v>554</v>
      </c>
      <c r="D26" s="31"/>
      <c r="E26" s="28"/>
      <c r="F26" s="29" t="s">
        <v>13</v>
      </c>
      <c r="G26" s="30" t="s">
        <v>555</v>
      </c>
      <c r="H26" s="31"/>
      <c r="I26" s="28"/>
      <c r="J26" s="29" t="s">
        <v>13</v>
      </c>
      <c r="K26" s="30" t="s">
        <v>556</v>
      </c>
      <c r="L26" s="31"/>
      <c r="M26" s="10"/>
      <c r="N26" s="10"/>
      <c r="O26" s="12"/>
      <c r="P26" s="12"/>
      <c r="Q26" s="12"/>
      <c r="R26" s="12"/>
      <c r="S26" s="12"/>
      <c r="T26" s="12"/>
      <c r="U26" s="13"/>
      <c r="V26" s="7"/>
      <c r="W26" s="7"/>
      <c r="X26" s="7"/>
      <c r="Y26" s="7"/>
    </row>
    <row r="27" ht="17.25" customHeight="1">
      <c r="A27" s="149" t="s">
        <v>18</v>
      </c>
      <c r="B27" s="138">
        <f>AVERAGE(B28:B33)</f>
        <v>0</v>
      </c>
      <c r="D27" s="31"/>
      <c r="E27" s="137" t="s">
        <v>18</v>
      </c>
      <c r="F27" s="138">
        <f>AVERAGE(F28:F33)</f>
        <v>0.008333333333</v>
      </c>
      <c r="H27" s="31"/>
      <c r="I27" s="137" t="s">
        <v>18</v>
      </c>
      <c r="J27" s="138">
        <f>AVERAGE(J28:J33)</f>
        <v>0</v>
      </c>
      <c r="L27" s="31"/>
      <c r="M27" s="10"/>
      <c r="N27" s="10"/>
      <c r="O27" s="12"/>
      <c r="P27" s="12"/>
      <c r="Q27" s="12"/>
      <c r="R27" s="12"/>
      <c r="S27" s="12"/>
      <c r="T27" s="12"/>
      <c r="U27" s="13"/>
      <c r="V27" s="7"/>
      <c r="W27" s="7"/>
      <c r="X27" s="7"/>
      <c r="Y27" s="7"/>
    </row>
    <row r="28" ht="15.0" customHeight="1">
      <c r="A28" s="150" t="s">
        <v>19</v>
      </c>
      <c r="B28" s="142">
        <v>0.0</v>
      </c>
      <c r="D28" s="151"/>
      <c r="E28" s="140" t="s">
        <v>19</v>
      </c>
      <c r="F28" s="142">
        <v>0.0</v>
      </c>
      <c r="H28" s="31"/>
      <c r="I28" s="140" t="s">
        <v>19</v>
      </c>
      <c r="J28" s="142">
        <v>0.0</v>
      </c>
      <c r="L28" s="31"/>
      <c r="M28" s="10"/>
      <c r="N28" s="10"/>
      <c r="O28" s="12"/>
      <c r="P28" s="12"/>
      <c r="Q28" s="12"/>
      <c r="R28" s="12"/>
      <c r="S28" s="12"/>
      <c r="T28" s="12"/>
      <c r="U28" s="13"/>
      <c r="V28" s="7"/>
      <c r="W28" s="7"/>
      <c r="X28" s="7"/>
      <c r="Y28" s="7"/>
    </row>
    <row r="29" ht="15.0" customHeight="1">
      <c r="A29" s="152" t="s">
        <v>557</v>
      </c>
      <c r="B29" s="146">
        <v>0.0</v>
      </c>
      <c r="D29" s="31"/>
      <c r="E29" s="144" t="s">
        <v>558</v>
      </c>
      <c r="F29" s="146">
        <v>0.0</v>
      </c>
      <c r="H29" s="31"/>
      <c r="I29" s="144" t="s">
        <v>559</v>
      </c>
      <c r="J29" s="146">
        <v>0.0</v>
      </c>
      <c r="L29" s="31"/>
      <c r="M29" s="10"/>
      <c r="N29" s="10"/>
      <c r="O29" s="12"/>
      <c r="P29" s="12"/>
      <c r="Q29" s="12"/>
      <c r="R29" s="12"/>
      <c r="S29" s="12"/>
      <c r="T29" s="12"/>
      <c r="U29" s="13"/>
      <c r="V29" s="7"/>
      <c r="W29" s="7"/>
      <c r="X29" s="7"/>
      <c r="Y29" s="7"/>
    </row>
    <row r="30" ht="15.0" customHeight="1">
      <c r="A30" s="153" t="s">
        <v>560</v>
      </c>
      <c r="B30" s="142">
        <v>0.0</v>
      </c>
      <c r="D30" s="31"/>
      <c r="E30" s="148" t="s">
        <v>561</v>
      </c>
      <c r="F30" s="142">
        <v>0.0</v>
      </c>
      <c r="H30" s="31"/>
      <c r="I30" s="148" t="s">
        <v>562</v>
      </c>
      <c r="J30" s="142">
        <v>0.0</v>
      </c>
      <c r="L30" s="31"/>
      <c r="M30" s="10"/>
      <c r="N30" s="10"/>
      <c r="O30" s="12"/>
      <c r="P30" s="12"/>
      <c r="Q30" s="12"/>
      <c r="R30" s="12"/>
      <c r="S30" s="12"/>
      <c r="T30" s="12"/>
      <c r="U30" s="13"/>
      <c r="V30" s="7"/>
      <c r="W30" s="7"/>
      <c r="X30" s="7"/>
      <c r="Y30" s="7"/>
    </row>
    <row r="31" ht="15.0" customHeight="1">
      <c r="A31" s="152" t="s">
        <v>563</v>
      </c>
      <c r="B31" s="146">
        <v>0.0</v>
      </c>
      <c r="D31" s="31"/>
      <c r="E31" s="144" t="s">
        <v>564</v>
      </c>
      <c r="F31" s="146">
        <v>0.0</v>
      </c>
      <c r="H31" s="31"/>
      <c r="I31" s="144" t="s">
        <v>565</v>
      </c>
      <c r="J31" s="146">
        <v>0.0</v>
      </c>
      <c r="L31" s="31"/>
      <c r="M31" s="10"/>
      <c r="N31" s="10"/>
      <c r="O31" s="12"/>
      <c r="P31" s="12"/>
      <c r="Q31" s="12"/>
      <c r="R31" s="12"/>
      <c r="S31" s="12"/>
      <c r="T31" s="12"/>
      <c r="U31" s="13"/>
      <c r="V31" s="7"/>
      <c r="W31" s="7"/>
      <c r="X31" s="7"/>
      <c r="Y31" s="7"/>
    </row>
    <row r="32" ht="15.0" customHeight="1">
      <c r="A32" s="153" t="s">
        <v>566</v>
      </c>
      <c r="B32" s="142">
        <v>0.0</v>
      </c>
      <c r="D32" s="31"/>
      <c r="E32" s="148" t="s">
        <v>567</v>
      </c>
      <c r="F32" s="142">
        <v>0.0</v>
      </c>
      <c r="H32" s="31"/>
      <c r="I32" s="148" t="s">
        <v>568</v>
      </c>
      <c r="J32" s="142">
        <v>0.0</v>
      </c>
      <c r="L32" s="31"/>
      <c r="M32" s="10"/>
      <c r="N32" s="10"/>
      <c r="O32" s="12"/>
      <c r="P32" s="12"/>
      <c r="Q32" s="12"/>
      <c r="R32" s="12"/>
      <c r="S32" s="12"/>
      <c r="T32" s="12"/>
      <c r="U32" s="13"/>
      <c r="V32" s="7"/>
      <c r="W32" s="7"/>
      <c r="X32" s="7"/>
      <c r="Y32" s="7"/>
    </row>
    <row r="33" ht="15.0" customHeight="1">
      <c r="A33" s="152" t="s">
        <v>569</v>
      </c>
      <c r="B33" s="146">
        <v>0.0</v>
      </c>
      <c r="D33" s="31"/>
      <c r="E33" s="144" t="s">
        <v>570</v>
      </c>
      <c r="F33" s="145">
        <f>1/20</f>
        <v>0.05</v>
      </c>
      <c r="H33" s="31"/>
      <c r="I33" s="144" t="s">
        <v>571</v>
      </c>
      <c r="J33" s="146">
        <v>0.0</v>
      </c>
      <c r="L33" s="31"/>
      <c r="M33" s="10"/>
      <c r="N33" s="10"/>
      <c r="O33" s="12"/>
      <c r="P33" s="12"/>
      <c r="Q33" s="12"/>
      <c r="R33" s="12"/>
      <c r="S33" s="12"/>
      <c r="T33" s="12"/>
      <c r="U33" s="13"/>
      <c r="V33" s="7"/>
      <c r="W33" s="7"/>
      <c r="X33" s="7"/>
      <c r="Y33" s="7"/>
    </row>
    <row r="34" ht="15.0" customHeight="1">
      <c r="A34" s="10"/>
      <c r="B34" s="26"/>
      <c r="C34" s="41"/>
      <c r="D34" s="10"/>
      <c r="E34" s="10"/>
      <c r="F34" s="26"/>
      <c r="G34" s="41"/>
      <c r="H34" s="10"/>
      <c r="I34" s="10"/>
      <c r="J34" s="26"/>
      <c r="K34" s="41"/>
      <c r="L34" s="10"/>
      <c r="M34" s="10"/>
      <c r="N34" s="26"/>
      <c r="O34" s="27"/>
      <c r="P34" s="12"/>
      <c r="Q34" s="12"/>
      <c r="R34" s="12"/>
      <c r="S34" s="12"/>
      <c r="T34" s="12"/>
      <c r="U34" s="13"/>
      <c r="V34" s="7"/>
      <c r="W34" s="7"/>
      <c r="X34" s="7"/>
      <c r="Y34" s="7"/>
    </row>
    <row r="35" ht="15.75" customHeight="1">
      <c r="A35" s="113"/>
      <c r="B35" s="29" t="s">
        <v>13</v>
      </c>
      <c r="C35" s="30" t="s">
        <v>572</v>
      </c>
      <c r="D35" s="31"/>
      <c r="E35" s="28"/>
      <c r="F35" s="29" t="s">
        <v>13</v>
      </c>
      <c r="G35" s="30" t="s">
        <v>573</v>
      </c>
      <c r="H35" s="31"/>
      <c r="I35" s="28"/>
      <c r="J35" s="29" t="s">
        <v>13</v>
      </c>
      <c r="K35" s="30" t="s">
        <v>574</v>
      </c>
      <c r="L35" s="31"/>
      <c r="M35" s="28"/>
      <c r="N35" s="29" t="s">
        <v>13</v>
      </c>
      <c r="O35" s="43" t="s">
        <v>575</v>
      </c>
      <c r="P35" s="21"/>
      <c r="Q35" s="12"/>
      <c r="R35" s="12"/>
      <c r="S35" s="12"/>
      <c r="T35" s="12"/>
      <c r="U35" s="13"/>
      <c r="V35" s="7"/>
      <c r="W35" s="7"/>
      <c r="X35" s="7"/>
      <c r="Y35" s="7"/>
    </row>
    <row r="36" ht="17.25" customHeight="1">
      <c r="A36" s="149" t="s">
        <v>18</v>
      </c>
      <c r="B36" s="138">
        <f>AVERAGE(B37:B42)</f>
        <v>0.04833333333</v>
      </c>
      <c r="D36" s="31"/>
      <c r="E36" s="137" t="s">
        <v>18</v>
      </c>
      <c r="F36" s="138">
        <f>AVERAGE(F37:F42)</f>
        <v>0</v>
      </c>
      <c r="H36" s="31"/>
      <c r="I36" s="137" t="s">
        <v>18</v>
      </c>
      <c r="J36" s="138">
        <f>AVERAGE(J37:J42)</f>
        <v>0</v>
      </c>
      <c r="L36" s="31"/>
      <c r="M36" s="137" t="s">
        <v>18</v>
      </c>
      <c r="N36" s="138">
        <f>AVERAGE(N37:N42)</f>
        <v>0</v>
      </c>
      <c r="P36" s="21"/>
      <c r="Q36" s="12"/>
      <c r="R36" s="12"/>
      <c r="S36" s="12"/>
      <c r="T36" s="12"/>
      <c r="U36" s="13"/>
      <c r="V36" s="7"/>
      <c r="W36" s="7"/>
      <c r="X36" s="7"/>
      <c r="Y36" s="7"/>
    </row>
    <row r="37" ht="15.0" customHeight="1">
      <c r="A37" s="150" t="s">
        <v>19</v>
      </c>
      <c r="B37" s="142">
        <v>0.0</v>
      </c>
      <c r="D37" s="151"/>
      <c r="E37" s="140" t="s">
        <v>19</v>
      </c>
      <c r="F37" s="142">
        <v>0.0</v>
      </c>
      <c r="H37" s="31"/>
      <c r="I37" s="140" t="s">
        <v>19</v>
      </c>
      <c r="J37" s="142">
        <v>0.0</v>
      </c>
      <c r="L37" s="31"/>
      <c r="M37" s="140" t="s">
        <v>19</v>
      </c>
      <c r="N37" s="142">
        <v>0.0</v>
      </c>
      <c r="P37" s="21"/>
      <c r="Q37" s="12"/>
      <c r="R37" s="12"/>
      <c r="S37" s="12"/>
      <c r="T37" s="12"/>
      <c r="U37" s="13"/>
      <c r="V37" s="7"/>
      <c r="W37" s="7"/>
      <c r="X37" s="7"/>
      <c r="Y37" s="7"/>
    </row>
    <row r="38" ht="15.0" customHeight="1">
      <c r="A38" s="152" t="s">
        <v>576</v>
      </c>
      <c r="B38" s="145">
        <f>1/4</f>
        <v>0.25</v>
      </c>
      <c r="D38" s="31"/>
      <c r="E38" s="144" t="s">
        <v>577</v>
      </c>
      <c r="F38" s="146">
        <v>0.0</v>
      </c>
      <c r="H38" s="31"/>
      <c r="I38" s="144" t="s">
        <v>578</v>
      </c>
      <c r="J38" s="146">
        <v>0.0</v>
      </c>
      <c r="L38" s="31"/>
      <c r="M38" s="144" t="s">
        <v>579</v>
      </c>
      <c r="N38" s="146">
        <v>0.0</v>
      </c>
      <c r="P38" s="21"/>
      <c r="Q38" s="12"/>
      <c r="R38" s="12"/>
      <c r="S38" s="12"/>
      <c r="T38" s="12"/>
      <c r="U38" s="13"/>
      <c r="V38" s="7"/>
      <c r="W38" s="7"/>
      <c r="X38" s="7"/>
      <c r="Y38" s="7"/>
    </row>
    <row r="39" ht="15.0" customHeight="1">
      <c r="A39" s="153" t="s">
        <v>580</v>
      </c>
      <c r="B39" s="142">
        <v>0.0</v>
      </c>
      <c r="D39" s="31"/>
      <c r="E39" s="148" t="s">
        <v>581</v>
      </c>
      <c r="F39" s="142">
        <v>0.0</v>
      </c>
      <c r="H39" s="31"/>
      <c r="I39" s="148" t="s">
        <v>582</v>
      </c>
      <c r="J39" s="142">
        <v>0.0</v>
      </c>
      <c r="L39" s="31"/>
      <c r="M39" s="148" t="s">
        <v>583</v>
      </c>
      <c r="N39" s="142">
        <v>0.0</v>
      </c>
      <c r="P39" s="21"/>
      <c r="Q39" s="12"/>
      <c r="R39" s="12"/>
      <c r="S39" s="12"/>
      <c r="T39" s="12"/>
      <c r="U39" s="13"/>
      <c r="V39" s="7"/>
      <c r="W39" s="7"/>
      <c r="X39" s="7"/>
      <c r="Y39" s="7"/>
    </row>
    <row r="40" ht="15.0" customHeight="1">
      <c r="A40" s="152" t="s">
        <v>584</v>
      </c>
      <c r="B40" s="146">
        <v>0.0</v>
      </c>
      <c r="D40" s="31"/>
      <c r="E40" s="144" t="s">
        <v>585</v>
      </c>
      <c r="F40" s="146">
        <v>0.0</v>
      </c>
      <c r="H40" s="31"/>
      <c r="I40" s="144" t="s">
        <v>586</v>
      </c>
      <c r="J40" s="146">
        <v>0.0</v>
      </c>
      <c r="L40" s="31"/>
      <c r="M40" s="144" t="s">
        <v>587</v>
      </c>
      <c r="N40" s="146">
        <v>0.0</v>
      </c>
      <c r="P40" s="21"/>
      <c r="Q40" s="12"/>
      <c r="R40" s="12"/>
      <c r="S40" s="12"/>
      <c r="T40" s="12"/>
      <c r="U40" s="13"/>
      <c r="V40" s="7"/>
      <c r="W40" s="7"/>
      <c r="X40" s="7"/>
      <c r="Y40" s="7"/>
    </row>
    <row r="41" ht="15.0" customHeight="1">
      <c r="A41" s="153" t="s">
        <v>588</v>
      </c>
      <c r="B41" s="142">
        <v>0.0</v>
      </c>
      <c r="D41" s="31"/>
      <c r="E41" s="148" t="s">
        <v>589</v>
      </c>
      <c r="F41" s="142">
        <v>0.0</v>
      </c>
      <c r="H41" s="31"/>
      <c r="I41" s="148" t="s">
        <v>590</v>
      </c>
      <c r="J41" s="142">
        <v>0.0</v>
      </c>
      <c r="L41" s="31"/>
      <c r="M41" s="148" t="s">
        <v>591</v>
      </c>
      <c r="N41" s="142">
        <v>0.0</v>
      </c>
      <c r="P41" s="21"/>
      <c r="Q41" s="12"/>
      <c r="R41" s="12"/>
      <c r="S41" s="12"/>
      <c r="T41" s="12"/>
      <c r="U41" s="13"/>
      <c r="V41" s="7"/>
      <c r="W41" s="7"/>
      <c r="X41" s="7"/>
      <c r="Y41" s="7"/>
    </row>
    <row r="42" ht="15.0" customHeight="1">
      <c r="A42" s="152" t="s">
        <v>592</v>
      </c>
      <c r="B42" s="145">
        <f>1/25</f>
        <v>0.04</v>
      </c>
      <c r="D42" s="31"/>
      <c r="E42" s="144" t="s">
        <v>593</v>
      </c>
      <c r="F42" s="146">
        <v>0.0</v>
      </c>
      <c r="H42" s="31"/>
      <c r="I42" s="144" t="s">
        <v>594</v>
      </c>
      <c r="J42" s="146">
        <v>0.0</v>
      </c>
      <c r="L42" s="31"/>
      <c r="M42" s="144" t="s">
        <v>595</v>
      </c>
      <c r="N42" s="146">
        <v>0.0</v>
      </c>
      <c r="P42" s="21"/>
      <c r="Q42" s="12"/>
      <c r="R42" s="12"/>
      <c r="S42" s="12"/>
      <c r="T42" s="12"/>
      <c r="U42" s="13"/>
      <c r="V42" s="7"/>
      <c r="W42" s="7"/>
      <c r="X42" s="7"/>
      <c r="Y42" s="7"/>
    </row>
    <row r="43" ht="15.0" customHeight="1">
      <c r="A43" s="10"/>
      <c r="B43" s="26"/>
      <c r="C43" s="41"/>
      <c r="D43" s="10"/>
      <c r="E43" s="10"/>
      <c r="F43" s="26"/>
      <c r="G43" s="41"/>
      <c r="H43" s="10"/>
      <c r="I43" s="10"/>
      <c r="J43" s="26"/>
      <c r="K43" s="41"/>
      <c r="L43" s="10"/>
      <c r="M43" s="10"/>
      <c r="N43" s="26"/>
      <c r="O43" s="42"/>
      <c r="P43" s="12"/>
      <c r="Q43" s="12"/>
      <c r="R43" s="12"/>
      <c r="S43" s="12"/>
      <c r="T43" s="12"/>
      <c r="U43" s="13"/>
      <c r="V43" s="7"/>
      <c r="W43" s="7"/>
      <c r="X43" s="7"/>
      <c r="Y43" s="7"/>
    </row>
    <row r="44" ht="15.75" customHeight="1">
      <c r="A44" s="113"/>
      <c r="B44" s="29" t="s">
        <v>13</v>
      </c>
      <c r="C44" s="30" t="s">
        <v>596</v>
      </c>
      <c r="D44" s="31"/>
      <c r="E44" s="28"/>
      <c r="F44" s="29" t="s">
        <v>13</v>
      </c>
      <c r="G44" s="30" t="s">
        <v>597</v>
      </c>
      <c r="H44" s="31"/>
      <c r="I44" s="28"/>
      <c r="J44" s="29" t="s">
        <v>13</v>
      </c>
      <c r="K44" s="43" t="s">
        <v>598</v>
      </c>
      <c r="L44" s="31"/>
      <c r="M44" s="28"/>
      <c r="N44" s="29" t="s">
        <v>13</v>
      </c>
      <c r="O44" s="43" t="s">
        <v>599</v>
      </c>
      <c r="P44" s="21"/>
      <c r="Q44" s="12"/>
      <c r="R44" s="12"/>
      <c r="S44" s="12"/>
      <c r="T44" s="12"/>
      <c r="U44" s="13"/>
      <c r="V44" s="7"/>
      <c r="W44" s="7"/>
      <c r="X44" s="7"/>
      <c r="Y44" s="7"/>
    </row>
    <row r="45" ht="17.25" customHeight="1">
      <c r="A45" s="149" t="s">
        <v>18</v>
      </c>
      <c r="B45" s="138">
        <f>AVERAGE(B46:B51)</f>
        <v>0.3</v>
      </c>
      <c r="D45" s="31"/>
      <c r="E45" s="137" t="s">
        <v>18</v>
      </c>
      <c r="F45" s="138">
        <f>AVERAGE(F46:F51)</f>
        <v>0.1638888889</v>
      </c>
      <c r="H45" s="31"/>
      <c r="I45" s="137" t="s">
        <v>18</v>
      </c>
      <c r="J45" s="138">
        <f>AVERAGE(J46:J51)</f>
        <v>0</v>
      </c>
      <c r="L45" s="31"/>
      <c r="M45" s="137" t="s">
        <v>18</v>
      </c>
      <c r="N45" s="138">
        <f>AVERAGE(N46:N51)</f>
        <v>0.08333333333</v>
      </c>
      <c r="P45" s="21"/>
      <c r="Q45" s="12"/>
      <c r="R45" s="12"/>
      <c r="S45" s="12"/>
      <c r="T45" s="12"/>
      <c r="U45" s="13"/>
      <c r="V45" s="7"/>
      <c r="W45" s="7"/>
      <c r="X45" s="7"/>
      <c r="Y45" s="7"/>
    </row>
    <row r="46" ht="15.0" customHeight="1">
      <c r="A46" s="150" t="s">
        <v>19</v>
      </c>
      <c r="B46" s="141">
        <f>1/3</f>
        <v>0.3333333333</v>
      </c>
      <c r="D46" s="151"/>
      <c r="E46" s="140" t="s">
        <v>19</v>
      </c>
      <c r="F46" s="141">
        <f t="shared" ref="F46:F47" si="10">3/20</f>
        <v>0.15</v>
      </c>
      <c r="H46" s="31"/>
      <c r="I46" s="140" t="s">
        <v>19</v>
      </c>
      <c r="J46" s="142">
        <v>0.0</v>
      </c>
      <c r="L46" s="31"/>
      <c r="M46" s="140" t="s">
        <v>19</v>
      </c>
      <c r="N46" s="141">
        <f t="shared" ref="N46:N48" si="11">1/20</f>
        <v>0.05</v>
      </c>
      <c r="P46" s="21"/>
      <c r="Q46" s="12"/>
      <c r="R46" s="12"/>
      <c r="S46" s="12"/>
      <c r="T46" s="12"/>
      <c r="U46" s="13"/>
      <c r="V46" s="7"/>
      <c r="W46" s="7"/>
      <c r="X46" s="7"/>
      <c r="Y46" s="7"/>
    </row>
    <row r="47" ht="15.0" customHeight="1">
      <c r="A47" s="152" t="s">
        <v>600</v>
      </c>
      <c r="B47" s="145">
        <f>2/5</f>
        <v>0.4</v>
      </c>
      <c r="D47" s="31"/>
      <c r="E47" s="144" t="s">
        <v>601</v>
      </c>
      <c r="F47" s="145">
        <f t="shared" si="10"/>
        <v>0.15</v>
      </c>
      <c r="H47" s="31"/>
      <c r="I47" s="144" t="s">
        <v>602</v>
      </c>
      <c r="J47" s="146">
        <v>0.0</v>
      </c>
      <c r="L47" s="31"/>
      <c r="M47" s="144" t="s">
        <v>603</v>
      </c>
      <c r="N47" s="145">
        <f t="shared" si="11"/>
        <v>0.05</v>
      </c>
      <c r="P47" s="21"/>
      <c r="Q47" s="12"/>
      <c r="R47" s="12"/>
      <c r="S47" s="12"/>
      <c r="T47" s="12"/>
      <c r="U47" s="13"/>
      <c r="V47" s="7"/>
      <c r="W47" s="7"/>
      <c r="X47" s="7"/>
      <c r="Y47" s="7"/>
    </row>
    <row r="48" ht="15.0" customHeight="1">
      <c r="A48" s="153" t="s">
        <v>604</v>
      </c>
      <c r="B48" s="141">
        <f>1/3</f>
        <v>0.3333333333</v>
      </c>
      <c r="D48" s="31"/>
      <c r="E48" s="148" t="s">
        <v>605</v>
      </c>
      <c r="F48" s="141">
        <f>1/3</f>
        <v>0.3333333333</v>
      </c>
      <c r="H48" s="31"/>
      <c r="I48" s="148" t="s">
        <v>606</v>
      </c>
      <c r="J48" s="142">
        <v>0.0</v>
      </c>
      <c r="L48" s="31"/>
      <c r="M48" s="148" t="s">
        <v>607</v>
      </c>
      <c r="N48" s="141">
        <f t="shared" si="11"/>
        <v>0.05</v>
      </c>
      <c r="P48" s="21"/>
      <c r="Q48" s="12"/>
      <c r="R48" s="12"/>
      <c r="S48" s="12"/>
      <c r="T48" s="12"/>
      <c r="U48" s="13"/>
      <c r="V48" s="7"/>
      <c r="W48" s="7"/>
      <c r="X48" s="7"/>
      <c r="Y48" s="7"/>
    </row>
    <row r="49" ht="15.0" customHeight="1">
      <c r="A49" s="152" t="s">
        <v>608</v>
      </c>
      <c r="B49" s="145">
        <f>1/5</f>
        <v>0.2</v>
      </c>
      <c r="D49" s="31"/>
      <c r="E49" s="144" t="s">
        <v>609</v>
      </c>
      <c r="F49" s="145">
        <f t="shared" ref="F49:F50" si="12">3/20</f>
        <v>0.15</v>
      </c>
      <c r="H49" s="31"/>
      <c r="I49" s="144" t="s">
        <v>610</v>
      </c>
      <c r="J49" s="146">
        <v>0.0</v>
      </c>
      <c r="L49" s="31"/>
      <c r="M49" s="144" t="s">
        <v>611</v>
      </c>
      <c r="N49" s="145">
        <f>1/5</f>
        <v>0.2</v>
      </c>
      <c r="P49" s="21"/>
      <c r="Q49" s="12"/>
      <c r="R49" s="12"/>
      <c r="S49" s="12"/>
      <c r="T49" s="12"/>
      <c r="U49" s="13"/>
      <c r="V49" s="7"/>
      <c r="W49" s="7"/>
      <c r="X49" s="7"/>
      <c r="Y49" s="7"/>
    </row>
    <row r="50" ht="15.0" customHeight="1">
      <c r="A50" s="153" t="s">
        <v>612</v>
      </c>
      <c r="B50" s="141">
        <f>1/3</f>
        <v>0.3333333333</v>
      </c>
      <c r="D50" s="31"/>
      <c r="E50" s="148" t="s">
        <v>613</v>
      </c>
      <c r="F50" s="141">
        <f t="shared" si="12"/>
        <v>0.15</v>
      </c>
      <c r="H50" s="31"/>
      <c r="I50" s="148" t="s">
        <v>614</v>
      </c>
      <c r="J50" s="142">
        <v>0.0</v>
      </c>
      <c r="L50" s="31"/>
      <c r="M50" s="148" t="s">
        <v>615</v>
      </c>
      <c r="N50" s="141">
        <f>1/20</f>
        <v>0.05</v>
      </c>
      <c r="P50" s="21"/>
      <c r="Q50" s="12"/>
      <c r="R50" s="12"/>
      <c r="S50" s="12"/>
      <c r="T50" s="12"/>
      <c r="U50" s="13"/>
      <c r="V50" s="7"/>
      <c r="W50" s="7"/>
      <c r="X50" s="7"/>
      <c r="Y50" s="7"/>
    </row>
    <row r="51" ht="15.0" customHeight="1">
      <c r="A51" s="152" t="s">
        <v>616</v>
      </c>
      <c r="B51" s="145">
        <f>1/5</f>
        <v>0.2</v>
      </c>
      <c r="D51" s="31"/>
      <c r="E51" s="144" t="s">
        <v>617</v>
      </c>
      <c r="F51" s="145">
        <f>1/20</f>
        <v>0.05</v>
      </c>
      <c r="H51" s="31"/>
      <c r="I51" s="144" t="s">
        <v>618</v>
      </c>
      <c r="J51" s="146">
        <v>0.0</v>
      </c>
      <c r="L51" s="31"/>
      <c r="M51" s="144" t="s">
        <v>619</v>
      </c>
      <c r="N51" s="145">
        <f>1/10</f>
        <v>0.1</v>
      </c>
      <c r="P51" s="21"/>
      <c r="Q51" s="12"/>
      <c r="R51" s="12"/>
      <c r="S51" s="12"/>
      <c r="T51" s="12"/>
      <c r="U51" s="13"/>
      <c r="V51" s="7"/>
      <c r="W51" s="7"/>
      <c r="X51" s="7"/>
      <c r="Y51" s="7"/>
    </row>
    <row r="52" ht="15.0" customHeight="1">
      <c r="A52" s="10"/>
      <c r="B52" s="26"/>
      <c r="C52" s="41"/>
      <c r="D52" s="26"/>
      <c r="E52" s="10"/>
      <c r="F52" s="26"/>
      <c r="G52" s="41"/>
      <c r="H52" s="10"/>
      <c r="I52" s="10"/>
      <c r="J52" s="26"/>
      <c r="K52" s="41"/>
      <c r="L52" s="10"/>
      <c r="M52" s="10"/>
      <c r="N52" s="26"/>
      <c r="O52" s="42"/>
      <c r="P52" s="12"/>
      <c r="Q52" s="12"/>
      <c r="R52" s="12"/>
      <c r="S52" s="12"/>
      <c r="T52" s="12"/>
      <c r="U52" s="13"/>
      <c r="V52" s="7"/>
      <c r="W52" s="7"/>
      <c r="X52" s="7"/>
      <c r="Y52" s="7"/>
    </row>
    <row r="53" ht="15.75" customHeight="1">
      <c r="A53" s="113"/>
      <c r="B53" s="29" t="s">
        <v>13</v>
      </c>
      <c r="C53" s="53" t="s">
        <v>506</v>
      </c>
      <c r="D53" s="30" t="s">
        <v>620</v>
      </c>
      <c r="E53" s="113"/>
      <c r="F53" s="29" t="s">
        <v>13</v>
      </c>
      <c r="G53" s="30" t="s">
        <v>621</v>
      </c>
      <c r="H53" s="31"/>
      <c r="I53" s="28"/>
      <c r="J53" s="29" t="s">
        <v>13</v>
      </c>
      <c r="K53" s="30" t="s">
        <v>622</v>
      </c>
      <c r="L53" s="31"/>
      <c r="M53" s="28"/>
      <c r="N53" s="29" t="s">
        <v>13</v>
      </c>
      <c r="O53" s="43" t="s">
        <v>623</v>
      </c>
      <c r="P53" s="21"/>
      <c r="Q53" s="12"/>
      <c r="R53" s="12"/>
      <c r="S53" s="12"/>
      <c r="T53" s="12"/>
      <c r="U53" s="13"/>
      <c r="V53" s="7"/>
      <c r="W53" s="7"/>
      <c r="X53" s="7"/>
      <c r="Y53" s="7"/>
    </row>
    <row r="54" ht="17.25" customHeight="1">
      <c r="A54" s="149" t="s">
        <v>18</v>
      </c>
      <c r="B54" s="139">
        <f>AVERAGE(B55:B60)</f>
        <v>0.2016666667</v>
      </c>
      <c r="C54" s="138"/>
      <c r="E54" s="149" t="s">
        <v>18</v>
      </c>
      <c r="F54" s="138">
        <f>AVERAGE(F55:F60)</f>
        <v>0.23</v>
      </c>
      <c r="H54" s="31"/>
      <c r="I54" s="137" t="s">
        <v>18</v>
      </c>
      <c r="J54" s="138">
        <f>AVERAGE(J55:J60)</f>
        <v>0.175</v>
      </c>
      <c r="L54" s="31"/>
      <c r="M54" s="137" t="s">
        <v>18</v>
      </c>
      <c r="N54" s="138">
        <f>AVERAGE(N55:N60)</f>
        <v>0.09333333333</v>
      </c>
      <c r="P54" s="21"/>
      <c r="Q54" s="12"/>
      <c r="R54" s="12"/>
      <c r="S54" s="12"/>
      <c r="T54" s="12"/>
      <c r="U54" s="13"/>
      <c r="V54" s="7"/>
      <c r="W54" s="7"/>
      <c r="X54" s="7"/>
      <c r="Y54" s="7"/>
    </row>
    <row r="55" ht="15.0" customHeight="1">
      <c r="A55" s="150" t="s">
        <v>19</v>
      </c>
      <c r="B55" s="143">
        <f>1/4</f>
        <v>0.25</v>
      </c>
      <c r="C55" s="141"/>
      <c r="E55" s="150" t="s">
        <v>19</v>
      </c>
      <c r="F55" s="141">
        <f t="shared" ref="F55:F56" si="14">1/4</f>
        <v>0.25</v>
      </c>
      <c r="H55" s="31"/>
      <c r="I55" s="140" t="s">
        <v>19</v>
      </c>
      <c r="J55" s="141">
        <f>3/20</f>
        <v>0.15</v>
      </c>
      <c r="L55" s="31"/>
      <c r="M55" s="140" t="s">
        <v>19</v>
      </c>
      <c r="N55" s="141">
        <f>1/25</f>
        <v>0.04</v>
      </c>
      <c r="P55" s="21"/>
      <c r="Q55" s="12"/>
      <c r="R55" s="12"/>
      <c r="S55" s="12"/>
      <c r="T55" s="12"/>
      <c r="U55" s="13"/>
      <c r="V55" s="7"/>
      <c r="W55" s="7"/>
      <c r="X55" s="7"/>
      <c r="Y55" s="7"/>
    </row>
    <row r="56" ht="15.0" customHeight="1">
      <c r="A56" s="152" t="s">
        <v>624</v>
      </c>
      <c r="B56" s="147">
        <f t="shared" ref="B56:C56" si="13">3/50</f>
        <v>0.06</v>
      </c>
      <c r="C56" s="145">
        <f t="shared" si="13"/>
        <v>0.06</v>
      </c>
      <c r="E56" s="152" t="s">
        <v>625</v>
      </c>
      <c r="F56" s="145">
        <f t="shared" si="14"/>
        <v>0.25</v>
      </c>
      <c r="H56" s="31"/>
      <c r="I56" s="144" t="s">
        <v>626</v>
      </c>
      <c r="J56" s="145">
        <f t="shared" ref="J56:J58" si="15">1/5</f>
        <v>0.2</v>
      </c>
      <c r="L56" s="31"/>
      <c r="M56" s="144" t="s">
        <v>627</v>
      </c>
      <c r="N56" s="145">
        <f>3/50</f>
        <v>0.06</v>
      </c>
      <c r="P56" s="21"/>
      <c r="Q56" s="12"/>
      <c r="R56" s="12"/>
      <c r="S56" s="12"/>
      <c r="T56" s="12"/>
      <c r="U56" s="13"/>
      <c r="V56" s="7"/>
      <c r="W56" s="7"/>
      <c r="X56" s="7"/>
      <c r="Y56" s="7"/>
    </row>
    <row r="57" ht="15.0" customHeight="1">
      <c r="A57" s="153" t="s">
        <v>628</v>
      </c>
      <c r="B57" s="143">
        <f t="shared" ref="B57:B58" si="16">1/4</f>
        <v>0.25</v>
      </c>
      <c r="C57" s="141"/>
      <c r="E57" s="153" t="s">
        <v>629</v>
      </c>
      <c r="F57" s="141">
        <f>1/5</f>
        <v>0.2</v>
      </c>
      <c r="H57" s="31"/>
      <c r="I57" s="148" t="s">
        <v>630</v>
      </c>
      <c r="J57" s="141">
        <f t="shared" si="15"/>
        <v>0.2</v>
      </c>
      <c r="L57" s="31"/>
      <c r="M57" s="148" t="s">
        <v>631</v>
      </c>
      <c r="N57" s="141">
        <f>1/25</f>
        <v>0.04</v>
      </c>
      <c r="P57" s="21"/>
      <c r="Q57" s="12"/>
      <c r="R57" s="12"/>
      <c r="S57" s="12"/>
      <c r="T57" s="12"/>
      <c r="U57" s="13"/>
      <c r="V57" s="7"/>
      <c r="W57" s="7"/>
      <c r="X57" s="7"/>
      <c r="Y57" s="7"/>
    </row>
    <row r="58" ht="15.0" customHeight="1">
      <c r="A58" s="152" t="s">
        <v>632</v>
      </c>
      <c r="B58" s="147">
        <f t="shared" si="16"/>
        <v>0.25</v>
      </c>
      <c r="C58" s="145"/>
      <c r="E58" s="152" t="s">
        <v>633</v>
      </c>
      <c r="F58" s="145">
        <f t="shared" ref="F58:F59" si="17">1/4</f>
        <v>0.25</v>
      </c>
      <c r="H58" s="31"/>
      <c r="I58" s="144" t="s">
        <v>634</v>
      </c>
      <c r="J58" s="145">
        <f t="shared" si="15"/>
        <v>0.2</v>
      </c>
      <c r="L58" s="31"/>
      <c r="M58" s="144" t="s">
        <v>436</v>
      </c>
      <c r="N58" s="145">
        <f>3/20</f>
        <v>0.15</v>
      </c>
      <c r="P58" s="21"/>
      <c r="Q58" s="12"/>
      <c r="R58" s="12"/>
      <c r="S58" s="12"/>
      <c r="T58" s="12"/>
      <c r="U58" s="13"/>
      <c r="V58" s="7"/>
      <c r="W58" s="7"/>
      <c r="X58" s="7"/>
      <c r="Y58" s="7"/>
    </row>
    <row r="59" ht="15.0" customHeight="1">
      <c r="A59" s="153" t="s">
        <v>635</v>
      </c>
      <c r="B59" s="143">
        <f t="shared" ref="B59:B60" si="18">1/5</f>
        <v>0.2</v>
      </c>
      <c r="C59" s="141"/>
      <c r="E59" s="153" t="s">
        <v>636</v>
      </c>
      <c r="F59" s="141">
        <f t="shared" si="17"/>
        <v>0.25</v>
      </c>
      <c r="H59" s="31"/>
      <c r="I59" s="148" t="s">
        <v>637</v>
      </c>
      <c r="J59" s="141">
        <f t="shared" ref="J59:J60" si="19">3/20</f>
        <v>0.15</v>
      </c>
      <c r="L59" s="31"/>
      <c r="M59" s="148" t="s">
        <v>638</v>
      </c>
      <c r="N59" s="141">
        <f>3/25</f>
        <v>0.12</v>
      </c>
      <c r="P59" s="21"/>
      <c r="Q59" s="12"/>
      <c r="R59" s="12"/>
      <c r="S59" s="12"/>
      <c r="T59" s="12"/>
      <c r="U59" s="13"/>
      <c r="V59" s="7"/>
      <c r="W59" s="7"/>
      <c r="X59" s="7"/>
      <c r="Y59" s="7"/>
    </row>
    <row r="60" ht="15.0" customHeight="1">
      <c r="A60" s="152" t="s">
        <v>639</v>
      </c>
      <c r="B60" s="147">
        <f t="shared" si="18"/>
        <v>0.2</v>
      </c>
      <c r="C60" s="145"/>
      <c r="E60" s="152" t="s">
        <v>640</v>
      </c>
      <c r="F60" s="145">
        <f>9/50</f>
        <v>0.18</v>
      </c>
      <c r="H60" s="31"/>
      <c r="I60" s="144" t="s">
        <v>641</v>
      </c>
      <c r="J60" s="145">
        <f t="shared" si="19"/>
        <v>0.15</v>
      </c>
      <c r="L60" s="31"/>
      <c r="M60" s="144" t="s">
        <v>642</v>
      </c>
      <c r="N60" s="145">
        <f>3/20</f>
        <v>0.15</v>
      </c>
      <c r="P60" s="21"/>
      <c r="Q60" s="12"/>
      <c r="R60" s="12"/>
      <c r="S60" s="12"/>
      <c r="T60" s="12"/>
      <c r="U60" s="13"/>
      <c r="V60" s="7"/>
      <c r="W60" s="7"/>
      <c r="X60" s="7"/>
      <c r="Y60" s="7"/>
    </row>
    <row r="61" ht="15.0" customHeight="1">
      <c r="A61" s="12"/>
      <c r="B61" s="12"/>
      <c r="C61" s="12"/>
      <c r="D61" s="48"/>
      <c r="E61" s="12"/>
      <c r="F61" s="12"/>
      <c r="G61" s="48"/>
      <c r="H61" s="12"/>
      <c r="I61" s="12"/>
      <c r="J61" s="12"/>
      <c r="K61" s="48"/>
      <c r="L61" s="12"/>
      <c r="M61" s="12"/>
      <c r="N61" s="12"/>
      <c r="O61" s="48"/>
      <c r="P61" s="12"/>
      <c r="Q61" s="12"/>
      <c r="R61" s="12"/>
      <c r="S61" s="12"/>
      <c r="T61" s="12"/>
      <c r="U61" s="13"/>
      <c r="V61" s="7"/>
      <c r="W61" s="7"/>
      <c r="X61" s="7"/>
      <c r="Y61" s="7"/>
    </row>
    <row r="62" ht="15.0" customHeight="1">
      <c r="A62" s="27"/>
      <c r="B62" s="27"/>
      <c r="C62" s="27"/>
      <c r="D62" s="27"/>
      <c r="E62" s="27"/>
      <c r="F62" s="27"/>
      <c r="G62" s="27"/>
      <c r="H62" s="27"/>
      <c r="I62" s="27"/>
      <c r="J62" s="27"/>
      <c r="K62" s="27"/>
      <c r="L62" s="27"/>
      <c r="M62" s="27"/>
      <c r="N62" s="27"/>
      <c r="O62" s="27"/>
      <c r="P62" s="27"/>
      <c r="Q62" s="27"/>
      <c r="R62" s="27"/>
      <c r="S62" s="27"/>
      <c r="T62" s="27"/>
      <c r="U62" s="52"/>
      <c r="V62" s="17"/>
      <c r="W62" s="17"/>
      <c r="X62" s="17"/>
      <c r="Y62" s="17"/>
    </row>
    <row r="63" ht="17.25" customHeight="1">
      <c r="A63" s="129" t="s">
        <v>643</v>
      </c>
      <c r="R63" s="54"/>
      <c r="S63" s="54"/>
      <c r="T63" s="54"/>
      <c r="U63" s="54"/>
    </row>
    <row r="64" ht="17.25" customHeight="1">
      <c r="A64" s="154"/>
      <c r="R64" s="54"/>
      <c r="S64" s="54"/>
      <c r="T64" s="54"/>
      <c r="U64" s="54"/>
    </row>
  </sheetData>
  <mergeCells count="34">
    <mergeCell ref="A1:Y1"/>
    <mergeCell ref="A2:Y2"/>
    <mergeCell ref="A3:U3"/>
    <mergeCell ref="B4:F4"/>
    <mergeCell ref="G4:I4"/>
    <mergeCell ref="B5:F5"/>
    <mergeCell ref="G5:J6"/>
    <mergeCell ref="B6:F6"/>
    <mergeCell ref="C8:C15"/>
    <mergeCell ref="G8:G15"/>
    <mergeCell ref="O8:O15"/>
    <mergeCell ref="T8:T15"/>
    <mergeCell ref="G17:G24"/>
    <mergeCell ref="O17:O24"/>
    <mergeCell ref="G44:G51"/>
    <mergeCell ref="G53:G60"/>
    <mergeCell ref="C17:C24"/>
    <mergeCell ref="C26:C33"/>
    <mergeCell ref="G26:G33"/>
    <mergeCell ref="C35:C42"/>
    <mergeCell ref="G35:G42"/>
    <mergeCell ref="C44:C51"/>
    <mergeCell ref="D53:D60"/>
    <mergeCell ref="O44:O51"/>
    <mergeCell ref="O53:O60"/>
    <mergeCell ref="A63:Q63"/>
    <mergeCell ref="A64:Q64"/>
    <mergeCell ref="K8:K15"/>
    <mergeCell ref="K17:K24"/>
    <mergeCell ref="K26:K33"/>
    <mergeCell ref="K35:K42"/>
    <mergeCell ref="O35:O42"/>
    <mergeCell ref="K44:K51"/>
    <mergeCell ref="K53:K60"/>
  </mergeCells>
  <hyperlinks>
    <hyperlink r:id="rId1" ref="G5"/>
    <hyperlink r:id="rId2" ref="M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1.13"/>
    <col customWidth="1" min="2" max="5" width="8.75"/>
    <col customWidth="1" min="6" max="6" width="17.0"/>
    <col customWidth="1" min="7" max="10" width="8.75"/>
    <col customWidth="1" min="11" max="11" width="18.75"/>
    <col customWidth="1" min="12" max="13" width="9.88"/>
    <col customWidth="1" min="14" max="15" width="8.75"/>
    <col customWidth="1" min="16" max="16" width="18.88"/>
    <col customWidth="1" min="17" max="20" width="8.75"/>
    <col customWidth="1" min="21" max="21" width="22.63"/>
    <col customWidth="1" min="22" max="25" width="8.75"/>
  </cols>
  <sheetData>
    <row r="1" ht="22.5" customHeight="1">
      <c r="A1" s="66" t="str">
        <f>Barb!A1</f>
        <v>- OUTDATED -
</v>
      </c>
    </row>
    <row r="2" ht="22.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2.5" customHeight="1">
      <c r="A3" s="4"/>
      <c r="B3" s="4"/>
      <c r="C3" s="4"/>
      <c r="D3" s="4"/>
      <c r="E3" s="4"/>
      <c r="F3" s="4"/>
      <c r="G3" s="4"/>
      <c r="H3" s="4"/>
      <c r="I3" s="4"/>
      <c r="J3" s="4"/>
      <c r="K3" s="4"/>
      <c r="L3" s="4"/>
      <c r="M3" s="4"/>
      <c r="N3" s="4"/>
      <c r="O3" s="4"/>
      <c r="P3" s="4"/>
      <c r="Q3" s="4"/>
      <c r="R3" s="4"/>
      <c r="S3" s="4"/>
      <c r="T3" s="4"/>
      <c r="U3" s="4"/>
      <c r="V3" s="4"/>
      <c r="W3" s="4"/>
      <c r="X3" s="4"/>
      <c r="Y3" s="4"/>
    </row>
    <row r="4" ht="22.5" customHeight="1">
      <c r="A4" s="68" t="str">
        <f>Barb!A4</f>
        <v>100% tested (2.0.6)</v>
      </c>
      <c r="B4" s="155" t="str">
        <f>'Barb (PP)'!B4</f>
        <v>Proc Coefficients</v>
      </c>
      <c r="C4" s="7"/>
      <c r="D4" s="7"/>
      <c r="E4" s="7"/>
      <c r="F4" s="8"/>
      <c r="G4" s="70" t="str">
        <f>Barb!G4</f>
        <v>Downloadable Sheet:</v>
      </c>
      <c r="H4" s="7"/>
      <c r="I4" s="7"/>
      <c r="J4" s="8"/>
      <c r="K4" s="71"/>
      <c r="L4" s="10"/>
      <c r="M4" s="10"/>
      <c r="N4" s="10"/>
      <c r="O4" s="10"/>
      <c r="P4" s="10"/>
      <c r="Q4" s="10"/>
      <c r="R4" s="10"/>
      <c r="S4" s="12"/>
      <c r="T4" s="12"/>
      <c r="U4" s="12"/>
      <c r="V4" s="12"/>
      <c r="W4" s="12"/>
      <c r="X4" s="12"/>
      <c r="Y4" s="12"/>
    </row>
    <row r="5" ht="15.75" customHeight="1">
      <c r="A5" s="156" t="str">
        <f>Barb!A5</f>
        <v>Updated: 7/10/14</v>
      </c>
      <c r="B5" s="157" t="str">
        <f>'Barb (PP)'!B5</f>
        <v>(per second)</v>
      </c>
      <c r="C5" s="7"/>
      <c r="D5" s="7"/>
      <c r="E5" s="7"/>
      <c r="F5" s="8"/>
      <c r="G5" s="74" t="s">
        <v>8</v>
      </c>
      <c r="H5" s="17"/>
      <c r="I5" s="17"/>
      <c r="J5" s="18"/>
      <c r="K5" s="158"/>
      <c r="L5" s="158"/>
      <c r="M5" s="159"/>
      <c r="N5" s="10"/>
      <c r="O5" s="10"/>
      <c r="P5" s="10"/>
      <c r="Q5" s="10"/>
      <c r="R5" s="10"/>
      <c r="S5" s="12"/>
      <c r="T5" s="12"/>
      <c r="U5" s="12"/>
      <c r="V5" s="12"/>
      <c r="W5" s="12"/>
      <c r="X5" s="12"/>
      <c r="Y5" s="12"/>
    </row>
    <row r="6" ht="24.75" customHeight="1">
      <c r="A6" s="160" t="str">
        <f>'Barb (PP)'!A6</f>
        <v>S/E = skill/effect procs</v>
      </c>
      <c r="B6" s="135" t="s">
        <v>500</v>
      </c>
      <c r="C6" s="7"/>
      <c r="D6" s="7"/>
      <c r="E6" s="7"/>
      <c r="F6" s="8"/>
      <c r="G6" s="23"/>
      <c r="H6" s="4"/>
      <c r="I6" s="4"/>
      <c r="J6" s="24"/>
      <c r="K6" s="158"/>
      <c r="L6" s="158"/>
      <c r="M6" s="159"/>
      <c r="N6" s="10"/>
      <c r="O6" s="10"/>
      <c r="P6" s="10"/>
      <c r="Q6" s="10"/>
      <c r="R6" s="10"/>
      <c r="S6" s="12"/>
      <c r="T6" s="12"/>
      <c r="U6" s="12"/>
      <c r="V6" s="12"/>
      <c r="W6" s="12"/>
      <c r="X6" s="12"/>
      <c r="Y6" s="12"/>
    </row>
    <row r="7" ht="15.0" customHeight="1">
      <c r="A7" s="10"/>
      <c r="B7" s="26"/>
      <c r="C7" s="26"/>
      <c r="D7" s="26"/>
      <c r="E7" s="10"/>
      <c r="F7" s="10"/>
      <c r="G7" s="26"/>
      <c r="H7" s="26"/>
      <c r="I7" s="26"/>
      <c r="J7" s="10"/>
      <c r="K7" s="10"/>
      <c r="L7" s="26"/>
      <c r="M7" s="26"/>
      <c r="N7" s="26"/>
      <c r="O7" s="10"/>
      <c r="P7" s="10"/>
      <c r="Q7" s="26"/>
      <c r="R7" s="26"/>
      <c r="S7" s="27"/>
      <c r="T7" s="12"/>
      <c r="U7" s="12"/>
      <c r="V7" s="27"/>
      <c r="W7" s="27"/>
      <c r="X7" s="27"/>
      <c r="Y7" s="12"/>
    </row>
    <row r="8" ht="15.0" customHeight="1">
      <c r="A8" s="28"/>
      <c r="B8" s="29" t="s">
        <v>338</v>
      </c>
      <c r="C8" s="29" t="s">
        <v>339</v>
      </c>
      <c r="D8" s="30" t="s">
        <v>502</v>
      </c>
      <c r="E8" s="31"/>
      <c r="F8" s="28"/>
      <c r="G8" s="29" t="s">
        <v>338</v>
      </c>
      <c r="H8" s="29" t="s">
        <v>339</v>
      </c>
      <c r="I8" s="30" t="s">
        <v>503</v>
      </c>
      <c r="J8" s="31"/>
      <c r="K8" s="28"/>
      <c r="L8" s="29" t="s">
        <v>338</v>
      </c>
      <c r="M8" s="29" t="s">
        <v>339</v>
      </c>
      <c r="N8" s="30" t="s">
        <v>504</v>
      </c>
      <c r="O8" s="31"/>
      <c r="P8" s="28"/>
      <c r="Q8" s="29" t="s">
        <v>338</v>
      </c>
      <c r="R8" s="29" t="s">
        <v>339</v>
      </c>
      <c r="S8" s="30" t="s">
        <v>644</v>
      </c>
      <c r="T8" s="21"/>
      <c r="U8" s="28"/>
      <c r="V8" s="29" t="s">
        <v>338</v>
      </c>
      <c r="W8" s="29" t="s">
        <v>339</v>
      </c>
      <c r="X8" s="43" t="s">
        <v>507</v>
      </c>
      <c r="Y8" s="21"/>
    </row>
    <row r="9" ht="17.25" customHeight="1">
      <c r="A9" s="137" t="s">
        <v>18</v>
      </c>
      <c r="B9" s="139">
        <f t="shared" ref="B9:C9" si="1">AVERAGE(B10:B15)</f>
        <v>0.6232905983</v>
      </c>
      <c r="C9" s="138">
        <f t="shared" si="1"/>
        <v>0.6232905983</v>
      </c>
      <c r="E9" s="31"/>
      <c r="F9" s="137" t="s">
        <v>18</v>
      </c>
      <c r="G9" s="139">
        <f t="shared" ref="G9:H9" si="2">AVERAGE(G10:G15)</f>
        <v>0.9222222222</v>
      </c>
      <c r="H9" s="138">
        <f t="shared" si="2"/>
        <v>0.9156567335</v>
      </c>
      <c r="J9" s="31"/>
      <c r="K9" s="137" t="s">
        <v>18</v>
      </c>
      <c r="L9" s="139">
        <f t="shared" ref="L9:M9" si="3">AVERAGE(L10:L15)</f>
        <v>0.3888888889</v>
      </c>
      <c r="M9" s="138">
        <f t="shared" si="3"/>
        <v>0.3888888889</v>
      </c>
      <c r="O9" s="31"/>
      <c r="P9" s="137" t="s">
        <v>18</v>
      </c>
      <c r="Q9" s="139">
        <f t="shared" ref="Q9:R9" si="4">AVERAGE(Q10:Q15)</f>
        <v>0.3240740741</v>
      </c>
      <c r="R9" s="138">
        <f t="shared" si="4"/>
        <v>0.3240740741</v>
      </c>
      <c r="T9" s="21"/>
      <c r="U9" s="137" t="s">
        <v>18</v>
      </c>
      <c r="V9" s="139">
        <f t="shared" ref="V9:W9" si="5">AVERAGE(V10:V15)</f>
        <v>0.607278481</v>
      </c>
      <c r="W9" s="138">
        <f t="shared" si="5"/>
        <v>0.5658358236</v>
      </c>
      <c r="Y9" s="21"/>
    </row>
    <row r="10" ht="15.0" customHeight="1">
      <c r="A10" s="140" t="s">
        <v>19</v>
      </c>
      <c r="B10" s="143">
        <f>DH!B10*1</f>
        <v>0.65</v>
      </c>
      <c r="C10" s="141">
        <f>1-(1-DH!B10)^1</f>
        <v>0.65</v>
      </c>
      <c r="E10" s="31"/>
      <c r="F10" s="140" t="s">
        <v>19</v>
      </c>
      <c r="G10" s="143">
        <f>DH!F10*1</f>
        <v>1</v>
      </c>
      <c r="H10" s="141">
        <f>1-(1-DH!F10)^1</f>
        <v>1</v>
      </c>
      <c r="J10" s="31"/>
      <c r="K10" s="140" t="s">
        <v>19</v>
      </c>
      <c r="L10" s="143">
        <f>DH!J10*1</f>
        <v>0.4</v>
      </c>
      <c r="M10" s="141">
        <f>1-(1-DH!J10)^1</f>
        <v>0.4</v>
      </c>
      <c r="O10" s="31"/>
      <c r="P10" s="140" t="s">
        <v>19</v>
      </c>
      <c r="Q10" s="143">
        <f>DH!N10*1</f>
        <v>0.3333333333</v>
      </c>
      <c r="R10" s="141">
        <f>1-(1-DH!N10)^1</f>
        <v>0.3333333333</v>
      </c>
      <c r="T10" s="21"/>
      <c r="U10" s="140" t="s">
        <v>19</v>
      </c>
      <c r="V10" s="143">
        <f>DH!R10*1</f>
        <v>0.6666666667</v>
      </c>
      <c r="W10" s="141">
        <f>1-(1-DH!R10)^1</f>
        <v>0.6666666667</v>
      </c>
      <c r="Y10" s="21"/>
    </row>
    <row r="11" ht="15.0" customHeight="1">
      <c r="A11" s="144" t="s">
        <v>508</v>
      </c>
      <c r="B11" s="147">
        <f>DH!B11*1</f>
        <v>0.55</v>
      </c>
      <c r="C11" s="145">
        <f>1-(1-DH!B11)^1</f>
        <v>0.55</v>
      </c>
      <c r="E11" s="31"/>
      <c r="F11" s="144" t="s">
        <v>509</v>
      </c>
      <c r="G11" s="147">
        <f>DH!F11*1</f>
        <v>1</v>
      </c>
      <c r="H11" s="145">
        <f>1-(1-DH!F11)^1</f>
        <v>1</v>
      </c>
      <c r="J11" s="31"/>
      <c r="K11" s="144" t="s">
        <v>510</v>
      </c>
      <c r="L11" s="147">
        <f>DH!J11*1</f>
        <v>0.3333333333</v>
      </c>
      <c r="M11" s="145">
        <f>1-(1-DH!J11)^1</f>
        <v>0.3333333333</v>
      </c>
      <c r="O11" s="31"/>
      <c r="P11" s="144" t="s">
        <v>511</v>
      </c>
      <c r="Q11" s="147">
        <f>DH!N11*1</f>
        <v>0.3333333333</v>
      </c>
      <c r="R11" s="145">
        <f>1-(1-DH!N11)^1</f>
        <v>0.3333333333</v>
      </c>
      <c r="T11" s="21"/>
      <c r="U11" s="144" t="s">
        <v>512</v>
      </c>
      <c r="V11" s="147">
        <f>DH!R11*1</f>
        <v>0.6666666667</v>
      </c>
      <c r="W11" s="145">
        <f>1-(1-DH!R11)^1</f>
        <v>0.6666666667</v>
      </c>
      <c r="Y11" s="21"/>
    </row>
    <row r="12" ht="15.0" customHeight="1">
      <c r="A12" s="148" t="s">
        <v>513</v>
      </c>
      <c r="B12" s="143">
        <f>DH!B12*1</f>
        <v>0.65</v>
      </c>
      <c r="C12" s="141">
        <f>1-(1-DH!B12)^1</f>
        <v>0.65</v>
      </c>
      <c r="E12" s="31"/>
      <c r="F12" s="148" t="s">
        <v>645</v>
      </c>
      <c r="G12" s="143">
        <f>DH!F12*(1+1/3)</f>
        <v>0.5333333333</v>
      </c>
      <c r="H12" s="141">
        <f>1-(1-DH!F12)^(1+1/3)</f>
        <v>0.4939404008</v>
      </c>
      <c r="J12" s="31"/>
      <c r="K12" s="148" t="s">
        <v>515</v>
      </c>
      <c r="L12" s="143">
        <f>DH!J12*1</f>
        <v>0.4</v>
      </c>
      <c r="M12" s="141">
        <f>1-(1-DH!J12)^1</f>
        <v>0.4</v>
      </c>
      <c r="O12" s="31"/>
      <c r="P12" s="148" t="s">
        <v>516</v>
      </c>
      <c r="Q12" s="143">
        <f>DH!N12*1</f>
        <v>0.2777777778</v>
      </c>
      <c r="R12" s="141">
        <f>1-(1-DH!N12)^1</f>
        <v>0.2777777778</v>
      </c>
      <c r="T12" s="21"/>
      <c r="U12" s="148" t="s">
        <v>517</v>
      </c>
      <c r="V12" s="143">
        <f>(DH!R12*3)</f>
        <v>0.75</v>
      </c>
      <c r="W12" s="141">
        <f>1-((1-DH!R12)^3)</f>
        <v>0.578125</v>
      </c>
      <c r="Y12" s="21"/>
    </row>
    <row r="13" ht="15.0" customHeight="1">
      <c r="A13" s="144" t="s">
        <v>518</v>
      </c>
      <c r="B13" s="147">
        <f>DH!B13*1</f>
        <v>0.5897435897</v>
      </c>
      <c r="C13" s="145">
        <f>1-(1-DH!B13)^1</f>
        <v>0.5897435897</v>
      </c>
      <c r="E13" s="31"/>
      <c r="F13" s="144" t="s">
        <v>519</v>
      </c>
      <c r="G13" s="147">
        <f>DH!F13*1</f>
        <v>1</v>
      </c>
      <c r="H13" s="145">
        <f>1-(1-DH!F13)^1</f>
        <v>1</v>
      </c>
      <c r="J13" s="31"/>
      <c r="K13" s="144" t="s">
        <v>646</v>
      </c>
      <c r="L13" s="147">
        <f>DH!J13*1</f>
        <v>0.4</v>
      </c>
      <c r="M13" s="145">
        <f>1-(1-DH!J13)^1</f>
        <v>0.4</v>
      </c>
      <c r="O13" s="31"/>
      <c r="P13" s="144" t="s">
        <v>521</v>
      </c>
      <c r="Q13" s="147">
        <f>DH!N13*1</f>
        <v>0.3333333333</v>
      </c>
      <c r="R13" s="145">
        <f>1-(1-DH!N13)^1</f>
        <v>0.3333333333</v>
      </c>
      <c r="T13" s="21"/>
      <c r="U13" s="144" t="s">
        <v>522</v>
      </c>
      <c r="V13" s="147">
        <f>DH!R13*1</f>
        <v>0.4</v>
      </c>
      <c r="W13" s="145">
        <f>1-(1-DH!R13)^1</f>
        <v>0.4</v>
      </c>
      <c r="Y13" s="21"/>
    </row>
    <row r="14" ht="15.0" customHeight="1">
      <c r="A14" s="148" t="s">
        <v>523</v>
      </c>
      <c r="B14" s="143">
        <f>DH!B14*1</f>
        <v>0.65</v>
      </c>
      <c r="C14" s="141">
        <f>1-(1-DH!B14)^1</f>
        <v>0.65</v>
      </c>
      <c r="E14" s="31"/>
      <c r="F14" s="148" t="s">
        <v>524</v>
      </c>
      <c r="G14" s="143">
        <f>DH!F14*1</f>
        <v>1</v>
      </c>
      <c r="H14" s="141">
        <f>1-(1-DH!F14)^1</f>
        <v>1</v>
      </c>
      <c r="J14" s="31"/>
      <c r="K14" s="148" t="s">
        <v>525</v>
      </c>
      <c r="L14" s="143">
        <f>DH!J14*1</f>
        <v>0.4</v>
      </c>
      <c r="M14" s="141">
        <f>1-(1-DH!J14)^1</f>
        <v>0.4</v>
      </c>
      <c r="O14" s="31"/>
      <c r="P14" s="148" t="s">
        <v>526</v>
      </c>
      <c r="Q14" s="143">
        <f>DH!N14*1</f>
        <v>0.3333333333</v>
      </c>
      <c r="R14" s="141">
        <f>1-(1-DH!N14)^1</f>
        <v>0.3333333333</v>
      </c>
      <c r="T14" s="21"/>
      <c r="U14" s="148" t="s">
        <v>527</v>
      </c>
      <c r="V14" s="143">
        <f>DH!R14*1</f>
        <v>0.6666666667</v>
      </c>
      <c r="W14" s="141">
        <f>1-(1-DH!R14)^1</f>
        <v>0.6666666667</v>
      </c>
      <c r="Y14" s="21"/>
    </row>
    <row r="15" ht="15.0" customHeight="1">
      <c r="A15" s="144" t="s">
        <v>528</v>
      </c>
      <c r="B15" s="147">
        <f>DH!B15*1</f>
        <v>0.65</v>
      </c>
      <c r="C15" s="145">
        <f>1-(1-DH!B15)^1</f>
        <v>0.65</v>
      </c>
      <c r="E15" s="31"/>
      <c r="F15" s="144" t="s">
        <v>529</v>
      </c>
      <c r="G15" s="147">
        <f>DH!F15*1</f>
        <v>1</v>
      </c>
      <c r="H15" s="145">
        <f>1-(1-DH!F15)^1</f>
        <v>1</v>
      </c>
      <c r="J15" s="31"/>
      <c r="K15" s="144" t="s">
        <v>530</v>
      </c>
      <c r="L15" s="147">
        <f>DH!J15*1</f>
        <v>0.4</v>
      </c>
      <c r="M15" s="145">
        <f>1-(1-DH!J15)^1</f>
        <v>0.4</v>
      </c>
      <c r="O15" s="31"/>
      <c r="P15" s="144" t="s">
        <v>358</v>
      </c>
      <c r="Q15" s="147">
        <f>DH!N15*1</f>
        <v>0.3333333333</v>
      </c>
      <c r="R15" s="145">
        <f>1-(1-DH!N15)^1</f>
        <v>0.3333333333</v>
      </c>
      <c r="T15" s="21"/>
      <c r="U15" s="144" t="s">
        <v>531</v>
      </c>
      <c r="V15" s="147">
        <f>(DH!R15*1)+(DH!S15*2)</f>
        <v>0.4936708861</v>
      </c>
      <c r="W15" s="145">
        <f>1-((1-DH!R15)^1)*((1-DH!S15)^2)</f>
        <v>0.4168899418</v>
      </c>
      <c r="Y15" s="21"/>
    </row>
    <row r="16" ht="15.0" customHeight="1">
      <c r="A16" s="10"/>
      <c r="B16" s="26"/>
      <c r="C16" s="26"/>
      <c r="D16" s="41"/>
      <c r="E16" s="10"/>
      <c r="F16" s="10"/>
      <c r="G16" s="26"/>
      <c r="H16" s="26"/>
      <c r="I16" s="41"/>
      <c r="J16" s="10"/>
      <c r="K16" s="10"/>
      <c r="L16" s="26"/>
      <c r="M16" s="26"/>
      <c r="N16" s="41"/>
      <c r="O16" s="10"/>
      <c r="P16" s="10"/>
      <c r="Q16" s="26"/>
      <c r="R16" s="26"/>
      <c r="S16" s="42"/>
      <c r="T16" s="12"/>
      <c r="U16" s="12"/>
      <c r="V16" s="12"/>
      <c r="W16" s="12"/>
      <c r="X16" s="48"/>
      <c r="Y16" s="12"/>
    </row>
    <row r="17" ht="15.75" customHeight="1">
      <c r="A17" s="113"/>
      <c r="B17" s="29" t="s">
        <v>338</v>
      </c>
      <c r="C17" s="29" t="s">
        <v>339</v>
      </c>
      <c r="D17" s="30" t="s">
        <v>532</v>
      </c>
      <c r="E17" s="31"/>
      <c r="F17" s="28"/>
      <c r="G17" s="29" t="s">
        <v>338</v>
      </c>
      <c r="H17" s="29" t="s">
        <v>339</v>
      </c>
      <c r="I17" s="30" t="s">
        <v>533</v>
      </c>
      <c r="J17" s="31"/>
      <c r="K17" s="28"/>
      <c r="L17" s="29" t="s">
        <v>338</v>
      </c>
      <c r="M17" s="29" t="s">
        <v>339</v>
      </c>
      <c r="N17" s="30" t="s">
        <v>534</v>
      </c>
      <c r="O17" s="31"/>
      <c r="P17" s="28"/>
      <c r="Q17" s="29" t="s">
        <v>338</v>
      </c>
      <c r="R17" s="29" t="s">
        <v>339</v>
      </c>
      <c r="S17" s="43" t="s">
        <v>535</v>
      </c>
      <c r="T17" s="21"/>
      <c r="U17" s="12"/>
      <c r="V17" s="12"/>
      <c r="W17" s="12"/>
      <c r="X17" s="12"/>
      <c r="Y17" s="12"/>
    </row>
    <row r="18" ht="17.25" customHeight="1">
      <c r="A18" s="149" t="s">
        <v>18</v>
      </c>
      <c r="B18" s="139">
        <f t="shared" ref="B18:C18" si="6">AVERAGE(B19:B24)</f>
        <v>0.8</v>
      </c>
      <c r="C18" s="138">
        <f t="shared" si="6"/>
        <v>0.8</v>
      </c>
      <c r="E18" s="31"/>
      <c r="F18" s="137" t="s">
        <v>18</v>
      </c>
      <c r="G18" s="139">
        <f t="shared" ref="G18:H18" si="7">AVERAGE(G19:G24)</f>
        <v>0.8333333333</v>
      </c>
      <c r="H18" s="138">
        <f t="shared" si="7"/>
        <v>0.5584554529</v>
      </c>
      <c r="J18" s="31"/>
      <c r="K18" s="137" t="s">
        <v>18</v>
      </c>
      <c r="L18" s="139">
        <f t="shared" ref="L18:M18" si="8">AVERAGE(L19:L24)</f>
        <v>0.4444444444</v>
      </c>
      <c r="M18" s="138">
        <f t="shared" si="8"/>
        <v>0.4255092593</v>
      </c>
      <c r="O18" s="31"/>
      <c r="P18" s="137" t="s">
        <v>18</v>
      </c>
      <c r="Q18" s="139">
        <f t="shared" ref="Q18:R18" si="9">AVERAGE(Q19:Q24)</f>
        <v>0.4305555556</v>
      </c>
      <c r="R18" s="138">
        <f t="shared" si="9"/>
        <v>0.4305555556</v>
      </c>
      <c r="T18" s="21"/>
      <c r="U18" s="12"/>
      <c r="V18" s="12"/>
      <c r="W18" s="12"/>
      <c r="X18" s="12"/>
      <c r="Y18" s="12"/>
    </row>
    <row r="19" ht="15.0" customHeight="1">
      <c r="A19" s="150" t="s">
        <v>19</v>
      </c>
      <c r="B19" s="143">
        <f>DH!B19*1</f>
        <v>1</v>
      </c>
      <c r="C19" s="141">
        <f>1-(1-DH!B19)^1</f>
        <v>1</v>
      </c>
      <c r="E19" s="151"/>
      <c r="F19" s="140" t="s">
        <v>19</v>
      </c>
      <c r="G19" s="143">
        <f>DH!F19*6</f>
        <v>1</v>
      </c>
      <c r="H19" s="141">
        <f>1-(1-DH!F19)^6</f>
        <v>0.6651020233</v>
      </c>
      <c r="J19" s="31"/>
      <c r="K19" s="140" t="s">
        <v>19</v>
      </c>
      <c r="L19" s="143">
        <f>DH!J19*1</f>
        <v>0.5</v>
      </c>
      <c r="M19" s="141">
        <f>1-(1-DH!J19)^1</f>
        <v>0.5</v>
      </c>
      <c r="O19" s="31"/>
      <c r="P19" s="140" t="s">
        <v>19</v>
      </c>
      <c r="Q19" s="143">
        <f>DH!N19*1</f>
        <v>0.5</v>
      </c>
      <c r="R19" s="141">
        <f>1-(1-DH!N19)^1</f>
        <v>0.5</v>
      </c>
      <c r="T19" s="21"/>
      <c r="U19" s="12"/>
      <c r="V19" s="12"/>
      <c r="W19" s="12"/>
      <c r="X19" s="12"/>
      <c r="Y19" s="12"/>
    </row>
    <row r="20" ht="15.0" customHeight="1">
      <c r="A20" s="152" t="s">
        <v>536</v>
      </c>
      <c r="B20" s="147">
        <f>DH!B20*1</f>
        <v>1</v>
      </c>
      <c r="C20" s="145">
        <f>1-(1-DH!B20)^1</f>
        <v>1</v>
      </c>
      <c r="E20" s="31"/>
      <c r="F20" s="144" t="s">
        <v>537</v>
      </c>
      <c r="G20" s="147">
        <f>DH!F20*6</f>
        <v>1</v>
      </c>
      <c r="H20" s="145">
        <f>1-(1-DH!F20)^6</f>
        <v>0.6651020233</v>
      </c>
      <c r="J20" s="31"/>
      <c r="K20" s="144" t="s">
        <v>538</v>
      </c>
      <c r="L20" s="147">
        <f>DH!J20*2</f>
        <v>0.6666666667</v>
      </c>
      <c r="M20" s="145">
        <f>1-(1-DH!J20)^2</f>
        <v>0.5555555556</v>
      </c>
      <c r="O20" s="31"/>
      <c r="P20" s="144" t="s">
        <v>539</v>
      </c>
      <c r="Q20" s="147">
        <f>DH!N20*1</f>
        <v>0.25</v>
      </c>
      <c r="R20" s="145">
        <f>1-(1-DH!N20)^1</f>
        <v>0.25</v>
      </c>
      <c r="T20" s="21"/>
      <c r="U20" s="12"/>
      <c r="V20" s="12"/>
      <c r="W20" s="12"/>
      <c r="X20" s="12"/>
      <c r="Y20" s="12"/>
    </row>
    <row r="21" ht="15.0" customHeight="1">
      <c r="A21" s="153" t="s">
        <v>540</v>
      </c>
      <c r="B21" s="143">
        <f>DH!B21*1</f>
        <v>1</v>
      </c>
      <c r="C21" s="141">
        <f>1-(1-DH!B21)^1</f>
        <v>1</v>
      </c>
      <c r="E21" s="31"/>
      <c r="F21" s="148" t="s">
        <v>541</v>
      </c>
      <c r="G21" s="143">
        <f>DH!F21*6</f>
        <v>1</v>
      </c>
      <c r="H21" s="141">
        <f>1-(1-DH!F21)^6</f>
        <v>0.6651020233</v>
      </c>
      <c r="J21" s="31"/>
      <c r="K21" s="148" t="s">
        <v>542</v>
      </c>
      <c r="L21" s="143">
        <f>DH!J21*1</f>
        <v>0.5</v>
      </c>
      <c r="M21" s="141">
        <f>1-(1-DH!J21)^1</f>
        <v>0.5</v>
      </c>
      <c r="O21" s="31"/>
      <c r="P21" s="148" t="s">
        <v>543</v>
      </c>
      <c r="Q21" s="143">
        <f>DH!N21*1</f>
        <v>0.3333333333</v>
      </c>
      <c r="R21" s="141">
        <f>1-(1-DH!N21)^1</f>
        <v>0.3333333333</v>
      </c>
      <c r="T21" s="21"/>
      <c r="U21" s="12"/>
      <c r="V21" s="12"/>
      <c r="W21" s="12"/>
      <c r="X21" s="12"/>
      <c r="Y21" s="12"/>
    </row>
    <row r="22" ht="15.0" customHeight="1">
      <c r="A22" s="152" t="s">
        <v>544</v>
      </c>
      <c r="B22" s="147">
        <f>DH!B22*1</f>
        <v>0.4</v>
      </c>
      <c r="C22" s="145">
        <f>1-(1-DH!B22)^1</f>
        <v>0.4</v>
      </c>
      <c r="E22" s="31"/>
      <c r="F22" s="144" t="s">
        <v>545</v>
      </c>
      <c r="G22" s="147">
        <f>DH!F22*(6+2)</f>
        <v>1.333333333</v>
      </c>
      <c r="H22" s="145">
        <f>1-(1-DH!F22)^(6+2)</f>
        <v>0.7674319606</v>
      </c>
      <c r="J22" s="31"/>
      <c r="K22" s="144" t="s">
        <v>546</v>
      </c>
      <c r="L22" s="147">
        <f>DH!J22*1</f>
        <v>0.4</v>
      </c>
      <c r="M22" s="145">
        <f>1-(1-DH!J22)^1</f>
        <v>0.4</v>
      </c>
      <c r="O22" s="31"/>
      <c r="P22" s="144" t="s">
        <v>547</v>
      </c>
      <c r="Q22" s="147">
        <f>DH!N22*1</f>
        <v>0.5</v>
      </c>
      <c r="R22" s="145">
        <f>1-(1-DH!N22)^1</f>
        <v>0.5</v>
      </c>
      <c r="T22" s="21"/>
      <c r="U22" s="12"/>
      <c r="V22" s="12"/>
      <c r="W22" s="12"/>
      <c r="X22" s="12"/>
      <c r="Y22" s="12"/>
    </row>
    <row r="23" ht="15.0" customHeight="1">
      <c r="A23" s="153" t="s">
        <v>27</v>
      </c>
      <c r="B23" s="143">
        <f>DH!B23*1</f>
        <v>0.4</v>
      </c>
      <c r="C23" s="141">
        <f>1-(1-DH!B23)^1</f>
        <v>0.4</v>
      </c>
      <c r="E23" s="31"/>
      <c r="F23" s="148" t="s">
        <v>548</v>
      </c>
      <c r="G23" s="143">
        <f>DH!F23*6</f>
        <v>0.3333333333</v>
      </c>
      <c r="H23" s="141">
        <f>1-(1-DH!F23)^6</f>
        <v>0.2903266484</v>
      </c>
      <c r="J23" s="31"/>
      <c r="K23" s="148" t="s">
        <v>549</v>
      </c>
      <c r="L23" s="143">
        <f>DH!J23*1</f>
        <v>0.5</v>
      </c>
      <c r="M23" s="141">
        <f>1-(1-DH!J23)^1</f>
        <v>0.5</v>
      </c>
      <c r="O23" s="31"/>
      <c r="P23" s="148" t="s">
        <v>550</v>
      </c>
      <c r="Q23" s="143">
        <f>DH!N23*1</f>
        <v>0.5</v>
      </c>
      <c r="R23" s="141">
        <f>1-(1-DH!N23)^1</f>
        <v>0.5</v>
      </c>
      <c r="T23" s="21"/>
      <c r="U23" s="12"/>
      <c r="V23" s="12"/>
      <c r="W23" s="12"/>
      <c r="X23" s="12"/>
      <c r="Y23" s="12"/>
    </row>
    <row r="24" ht="15.0" customHeight="1">
      <c r="A24" s="152" t="s">
        <v>551</v>
      </c>
      <c r="B24" s="147">
        <f>DH!B24*1</f>
        <v>1</v>
      </c>
      <c r="C24" s="145">
        <f>1-(1-DH!B24)^1</f>
        <v>1</v>
      </c>
      <c r="E24" s="31"/>
      <c r="F24" s="144" t="s">
        <v>466</v>
      </c>
      <c r="G24" s="147">
        <f>DH!F24*3</f>
        <v>0.3333333333</v>
      </c>
      <c r="H24" s="145">
        <f>1-(1-DH!F24)^3</f>
        <v>0.2976680384</v>
      </c>
      <c r="J24" s="31"/>
      <c r="K24" s="144" t="s">
        <v>552</v>
      </c>
      <c r="L24" s="147">
        <f>DH!J24*2</f>
        <v>0.1</v>
      </c>
      <c r="M24" s="145">
        <f>1-(1-DH!J24)^2</f>
        <v>0.0975</v>
      </c>
      <c r="O24" s="31"/>
      <c r="P24" s="144" t="s">
        <v>553</v>
      </c>
      <c r="Q24" s="147">
        <f>DH!N24*1</f>
        <v>0.5</v>
      </c>
      <c r="R24" s="145">
        <f>1-(1-DH!N24)^1</f>
        <v>0.5</v>
      </c>
      <c r="T24" s="21"/>
      <c r="U24" s="12"/>
      <c r="V24" s="12"/>
      <c r="W24" s="12"/>
      <c r="X24" s="12"/>
      <c r="Y24" s="12"/>
    </row>
    <row r="25" ht="15.0" customHeight="1">
      <c r="A25" s="10"/>
      <c r="B25" s="26"/>
      <c r="C25" s="26"/>
      <c r="D25" s="41"/>
      <c r="E25" s="10"/>
      <c r="F25" s="10"/>
      <c r="G25" s="26"/>
      <c r="H25" s="26"/>
      <c r="I25" s="41"/>
      <c r="J25" s="10"/>
      <c r="K25" s="10"/>
      <c r="L25" s="26"/>
      <c r="M25" s="26"/>
      <c r="N25" s="41"/>
      <c r="O25" s="10"/>
      <c r="P25" s="10"/>
      <c r="Q25" s="10"/>
      <c r="R25" s="10"/>
      <c r="S25" s="48"/>
      <c r="T25" s="12"/>
      <c r="U25" s="12"/>
      <c r="V25" s="12"/>
      <c r="W25" s="12"/>
      <c r="X25" s="12"/>
      <c r="Y25" s="12"/>
    </row>
    <row r="26" ht="15.75" customHeight="1">
      <c r="A26" s="113"/>
      <c r="B26" s="29" t="s">
        <v>338</v>
      </c>
      <c r="C26" s="29" t="s">
        <v>339</v>
      </c>
      <c r="D26" s="30" t="s">
        <v>554</v>
      </c>
      <c r="E26" s="31"/>
      <c r="F26" s="28"/>
      <c r="G26" s="29" t="s">
        <v>338</v>
      </c>
      <c r="H26" s="29" t="s">
        <v>339</v>
      </c>
      <c r="I26" s="30" t="s">
        <v>555</v>
      </c>
      <c r="J26" s="31"/>
      <c r="K26" s="28"/>
      <c r="L26" s="29" t="s">
        <v>338</v>
      </c>
      <c r="M26" s="29" t="s">
        <v>339</v>
      </c>
      <c r="N26" s="30" t="s">
        <v>556</v>
      </c>
      <c r="O26" s="31"/>
      <c r="P26" s="10"/>
      <c r="Q26" s="10"/>
      <c r="R26" s="10"/>
      <c r="S26" s="12"/>
      <c r="T26" s="12"/>
      <c r="U26" s="12"/>
      <c r="V26" s="12"/>
      <c r="W26" s="12"/>
      <c r="X26" s="12"/>
      <c r="Y26" s="12"/>
    </row>
    <row r="27" ht="17.25" customHeight="1">
      <c r="A27" s="149" t="s">
        <v>18</v>
      </c>
      <c r="B27" s="139">
        <f t="shared" ref="B27:C27" si="10">AVERAGE(B28:B33)</f>
        <v>0</v>
      </c>
      <c r="C27" s="138">
        <f t="shared" si="10"/>
        <v>0</v>
      </c>
      <c r="E27" s="31"/>
      <c r="F27" s="137" t="s">
        <v>18</v>
      </c>
      <c r="G27" s="139">
        <f t="shared" ref="G27:H27" si="11">AVERAGE(G28:G33)</f>
        <v>0.01666666667</v>
      </c>
      <c r="H27" s="138">
        <f t="shared" si="11"/>
        <v>0.01625</v>
      </c>
      <c r="J27" s="31"/>
      <c r="K27" s="137" t="s">
        <v>18</v>
      </c>
      <c r="L27" s="139">
        <f t="shared" ref="L27:M27" si="12">AVERAGE(L28:L33)</f>
        <v>0</v>
      </c>
      <c r="M27" s="138">
        <f t="shared" si="12"/>
        <v>0</v>
      </c>
      <c r="O27" s="31"/>
      <c r="P27" s="10"/>
      <c r="Q27" s="10"/>
      <c r="R27" s="10"/>
      <c r="S27" s="12"/>
      <c r="T27" s="12"/>
      <c r="U27" s="12"/>
      <c r="V27" s="12"/>
      <c r="W27" s="12"/>
      <c r="X27" s="12"/>
      <c r="Y27" s="12"/>
    </row>
    <row r="28" ht="15.0" customHeight="1">
      <c r="A28" s="150" t="s">
        <v>19</v>
      </c>
      <c r="B28" s="143">
        <f>DH!B28*1</f>
        <v>0</v>
      </c>
      <c r="C28" s="141">
        <f>1-(1-DH!B28)^1</f>
        <v>0</v>
      </c>
      <c r="E28" s="151"/>
      <c r="F28" s="140" t="s">
        <v>19</v>
      </c>
      <c r="G28" s="143">
        <f>DH!F28*1</f>
        <v>0</v>
      </c>
      <c r="H28" s="141">
        <f>1-(1-DH!F28)^1</f>
        <v>0</v>
      </c>
      <c r="J28" s="31"/>
      <c r="K28" s="140" t="s">
        <v>19</v>
      </c>
      <c r="L28" s="143">
        <f>DH!J28*1</f>
        <v>0</v>
      </c>
      <c r="M28" s="141">
        <f>1-(1-DH!J28)^1</f>
        <v>0</v>
      </c>
      <c r="O28" s="31"/>
      <c r="P28" s="10"/>
      <c r="Q28" s="10"/>
      <c r="R28" s="10"/>
      <c r="S28" s="12"/>
      <c r="T28" s="12"/>
      <c r="U28" s="12"/>
      <c r="V28" s="12"/>
      <c r="W28" s="12"/>
      <c r="X28" s="12"/>
      <c r="Y28" s="12"/>
    </row>
    <row r="29" ht="15.0" customHeight="1">
      <c r="A29" s="152" t="s">
        <v>557</v>
      </c>
      <c r="B29" s="147">
        <f>DH!B29*1</f>
        <v>0</v>
      </c>
      <c r="C29" s="145">
        <f>1-(1-DH!B29)^1</f>
        <v>0</v>
      </c>
      <c r="E29" s="31"/>
      <c r="F29" s="144" t="s">
        <v>558</v>
      </c>
      <c r="G29" s="147">
        <f>DH!F29*1</f>
        <v>0</v>
      </c>
      <c r="H29" s="145">
        <f>1-(1-DH!F29)^1</f>
        <v>0</v>
      </c>
      <c r="J29" s="31"/>
      <c r="K29" s="144" t="s">
        <v>559</v>
      </c>
      <c r="L29" s="147">
        <f>DH!J29*1</f>
        <v>0</v>
      </c>
      <c r="M29" s="145">
        <f>1-(1-DH!J29)^1</f>
        <v>0</v>
      </c>
      <c r="O29" s="31"/>
      <c r="P29" s="10"/>
      <c r="Q29" s="10"/>
      <c r="R29" s="10"/>
      <c r="S29" s="12"/>
      <c r="T29" s="12"/>
      <c r="U29" s="12"/>
      <c r="V29" s="12"/>
      <c r="W29" s="12"/>
      <c r="X29" s="12"/>
      <c r="Y29" s="12"/>
    </row>
    <row r="30" ht="15.0" customHeight="1">
      <c r="A30" s="153" t="s">
        <v>560</v>
      </c>
      <c r="B30" s="143">
        <f>DH!B30*1</f>
        <v>0</v>
      </c>
      <c r="C30" s="141">
        <f>1-(1-DH!B30)^1</f>
        <v>0</v>
      </c>
      <c r="E30" s="31"/>
      <c r="F30" s="148" t="s">
        <v>561</v>
      </c>
      <c r="G30" s="143">
        <f>DH!F30*1</f>
        <v>0</v>
      </c>
      <c r="H30" s="141">
        <f>1-(1-DH!F30)^1</f>
        <v>0</v>
      </c>
      <c r="J30" s="31"/>
      <c r="K30" s="148" t="s">
        <v>562</v>
      </c>
      <c r="L30" s="143">
        <f>DH!J30*1</f>
        <v>0</v>
      </c>
      <c r="M30" s="141">
        <f>1-(1-DH!J30)^1</f>
        <v>0</v>
      </c>
      <c r="O30" s="31"/>
      <c r="P30" s="10"/>
      <c r="Q30" s="10"/>
      <c r="R30" s="10"/>
      <c r="S30" s="12"/>
      <c r="T30" s="12"/>
      <c r="U30" s="12"/>
      <c r="V30" s="12"/>
      <c r="W30" s="12"/>
      <c r="X30" s="12"/>
      <c r="Y30" s="12"/>
    </row>
    <row r="31" ht="15.0" customHeight="1">
      <c r="A31" s="152" t="s">
        <v>563</v>
      </c>
      <c r="B31" s="147">
        <f>DH!B31*1</f>
        <v>0</v>
      </c>
      <c r="C31" s="145">
        <f>1-(1-DH!B31)^1</f>
        <v>0</v>
      </c>
      <c r="E31" s="31"/>
      <c r="F31" s="144" t="s">
        <v>564</v>
      </c>
      <c r="G31" s="147">
        <f>DH!F31*1</f>
        <v>0</v>
      </c>
      <c r="H31" s="145">
        <f>1-(1-DH!F31)^1</f>
        <v>0</v>
      </c>
      <c r="J31" s="31"/>
      <c r="K31" s="144" t="s">
        <v>565</v>
      </c>
      <c r="L31" s="147">
        <f>DH!J31*1</f>
        <v>0</v>
      </c>
      <c r="M31" s="145">
        <f>1-(1-DH!J31)^1</f>
        <v>0</v>
      </c>
      <c r="O31" s="31"/>
      <c r="P31" s="10"/>
      <c r="Q31" s="10"/>
      <c r="R31" s="10"/>
      <c r="S31" s="12"/>
      <c r="T31" s="12"/>
      <c r="U31" s="12"/>
      <c r="V31" s="12"/>
      <c r="W31" s="12"/>
      <c r="X31" s="12"/>
      <c r="Y31" s="12"/>
    </row>
    <row r="32" ht="15.0" customHeight="1">
      <c r="A32" s="153" t="s">
        <v>566</v>
      </c>
      <c r="B32" s="143">
        <f>DH!B32*1</f>
        <v>0</v>
      </c>
      <c r="C32" s="141">
        <f>1-(1-DH!B32)^1</f>
        <v>0</v>
      </c>
      <c r="E32" s="31"/>
      <c r="F32" s="148" t="s">
        <v>567</v>
      </c>
      <c r="G32" s="143">
        <f>DH!F32*1</f>
        <v>0</v>
      </c>
      <c r="H32" s="141">
        <f>1-(1-DH!F32)^1</f>
        <v>0</v>
      </c>
      <c r="J32" s="31"/>
      <c r="K32" s="148" t="s">
        <v>568</v>
      </c>
      <c r="L32" s="143">
        <f>DH!J32*1</f>
        <v>0</v>
      </c>
      <c r="M32" s="141">
        <f>1-(1-DH!J32)^1</f>
        <v>0</v>
      </c>
      <c r="O32" s="31"/>
      <c r="P32" s="10"/>
      <c r="Q32" s="10"/>
      <c r="R32" s="10"/>
      <c r="S32" s="12"/>
      <c r="T32" s="12"/>
      <c r="U32" s="12"/>
      <c r="V32" s="12"/>
      <c r="W32" s="12"/>
      <c r="X32" s="12"/>
      <c r="Y32" s="12"/>
    </row>
    <row r="33" ht="15.0" customHeight="1">
      <c r="A33" s="152" t="s">
        <v>569</v>
      </c>
      <c r="B33" s="147">
        <f>DH!B33*1</f>
        <v>0</v>
      </c>
      <c r="C33" s="145">
        <f>1-(1-DH!B33)^1</f>
        <v>0</v>
      </c>
      <c r="E33" s="31"/>
      <c r="F33" s="144" t="s">
        <v>570</v>
      </c>
      <c r="G33" s="147">
        <f>DH!F33*2</f>
        <v>0.1</v>
      </c>
      <c r="H33" s="145">
        <f>1-(1-DH!F33)^2</f>
        <v>0.0975</v>
      </c>
      <c r="J33" s="31"/>
      <c r="K33" s="144" t="s">
        <v>571</v>
      </c>
      <c r="L33" s="147">
        <f>DH!J33*1</f>
        <v>0</v>
      </c>
      <c r="M33" s="145">
        <f>1-(1-DH!J33)^1</f>
        <v>0</v>
      </c>
      <c r="O33" s="31"/>
      <c r="P33" s="10"/>
      <c r="Q33" s="10"/>
      <c r="R33" s="10"/>
      <c r="S33" s="12"/>
      <c r="T33" s="12"/>
      <c r="U33" s="12"/>
      <c r="V33" s="12"/>
      <c r="W33" s="12"/>
      <c r="X33" s="12"/>
      <c r="Y33" s="12"/>
    </row>
    <row r="34" ht="15.0" customHeight="1">
      <c r="A34" s="10"/>
      <c r="B34" s="26"/>
      <c r="C34" s="26"/>
      <c r="D34" s="41"/>
      <c r="E34" s="10"/>
      <c r="F34" s="10"/>
      <c r="G34" s="26"/>
      <c r="H34" s="26"/>
      <c r="I34" s="41"/>
      <c r="J34" s="10"/>
      <c r="K34" s="10"/>
      <c r="L34" s="26"/>
      <c r="M34" s="26"/>
      <c r="N34" s="41"/>
      <c r="O34" s="10"/>
      <c r="P34" s="10"/>
      <c r="Q34" s="26"/>
      <c r="R34" s="26"/>
      <c r="S34" s="27"/>
      <c r="T34" s="12"/>
      <c r="U34" s="12"/>
      <c r="V34" s="12"/>
      <c r="W34" s="12"/>
      <c r="X34" s="12"/>
      <c r="Y34" s="12"/>
    </row>
    <row r="35" ht="15.75" customHeight="1">
      <c r="A35" s="113"/>
      <c r="B35" s="29" t="s">
        <v>338</v>
      </c>
      <c r="C35" s="29" t="s">
        <v>339</v>
      </c>
      <c r="D35" s="30" t="s">
        <v>647</v>
      </c>
      <c r="E35" s="31"/>
      <c r="F35" s="28"/>
      <c r="G35" s="29" t="s">
        <v>338</v>
      </c>
      <c r="H35" s="29" t="s">
        <v>339</v>
      </c>
      <c r="I35" s="30" t="s">
        <v>573</v>
      </c>
      <c r="J35" s="31"/>
      <c r="K35" s="28"/>
      <c r="L35" s="29" t="s">
        <v>338</v>
      </c>
      <c r="M35" s="29" t="s">
        <v>339</v>
      </c>
      <c r="N35" s="30" t="s">
        <v>574</v>
      </c>
      <c r="O35" s="31"/>
      <c r="P35" s="28"/>
      <c r="Q35" s="29" t="s">
        <v>338</v>
      </c>
      <c r="R35" s="29" t="s">
        <v>339</v>
      </c>
      <c r="S35" s="43" t="s">
        <v>575</v>
      </c>
      <c r="T35" s="21"/>
      <c r="U35" s="12"/>
      <c r="V35" s="12"/>
      <c r="W35" s="12"/>
      <c r="X35" s="12"/>
      <c r="Y35" s="12"/>
    </row>
    <row r="36" ht="17.25" customHeight="1">
      <c r="A36" s="149" t="s">
        <v>18</v>
      </c>
      <c r="B36" s="139">
        <f t="shared" ref="B36:C36" si="13">AVERAGE(B37:B42)</f>
        <v>0.2066666667</v>
      </c>
      <c r="C36" s="138">
        <f t="shared" si="13"/>
        <v>0.1501393267</v>
      </c>
      <c r="E36" s="31"/>
      <c r="F36" s="137" t="s">
        <v>18</v>
      </c>
      <c r="G36" s="139">
        <f t="shared" ref="G36:H36" si="14">AVERAGE(G37:G42)</f>
        <v>0</v>
      </c>
      <c r="H36" s="138">
        <f t="shared" si="14"/>
        <v>0</v>
      </c>
      <c r="J36" s="31"/>
      <c r="K36" s="137" t="s">
        <v>18</v>
      </c>
      <c r="L36" s="139">
        <f t="shared" ref="L36:M36" si="15">AVERAGE(L37:L42)</f>
        <v>0</v>
      </c>
      <c r="M36" s="138">
        <f t="shared" si="15"/>
        <v>0</v>
      </c>
      <c r="O36" s="31"/>
      <c r="P36" s="137" t="s">
        <v>18</v>
      </c>
      <c r="Q36" s="139">
        <f t="shared" ref="Q36:R36" si="16">AVERAGE(Q37:Q42)</f>
        <v>0</v>
      </c>
      <c r="R36" s="138">
        <f t="shared" si="16"/>
        <v>0</v>
      </c>
      <c r="T36" s="21"/>
      <c r="U36" s="12"/>
      <c r="V36" s="12"/>
      <c r="W36" s="12"/>
      <c r="X36" s="12"/>
      <c r="Y36" s="12"/>
    </row>
    <row r="37" ht="15.0" customHeight="1">
      <c r="A37" s="150" t="s">
        <v>19</v>
      </c>
      <c r="B37" s="143">
        <f>DH!B37*1</f>
        <v>0</v>
      </c>
      <c r="C37" s="141">
        <f>1-(1-DH!B37)^1</f>
        <v>0</v>
      </c>
      <c r="E37" s="151"/>
      <c r="F37" s="140" t="s">
        <v>19</v>
      </c>
      <c r="G37" s="143">
        <f>DH!F37*1</f>
        <v>0</v>
      </c>
      <c r="H37" s="141">
        <f>1-(1-DH!F37)^1</f>
        <v>0</v>
      </c>
      <c r="J37" s="31"/>
      <c r="K37" s="140" t="s">
        <v>19</v>
      </c>
      <c r="L37" s="143">
        <f>DH!J37*1</f>
        <v>0</v>
      </c>
      <c r="M37" s="141">
        <f>1-(1-DH!J37)^1</f>
        <v>0</v>
      </c>
      <c r="O37" s="31"/>
      <c r="P37" s="140" t="s">
        <v>19</v>
      </c>
      <c r="Q37" s="143">
        <f>DH!N37*1</f>
        <v>0</v>
      </c>
      <c r="R37" s="141">
        <f>1-(1-DH!N37)^1</f>
        <v>0</v>
      </c>
      <c r="T37" s="21"/>
      <c r="U37" s="12"/>
      <c r="V37" s="12"/>
      <c r="W37" s="12"/>
      <c r="X37" s="12"/>
      <c r="Y37" s="12"/>
    </row>
    <row r="38" ht="15.0" customHeight="1">
      <c r="A38" s="152" t="s">
        <v>576</v>
      </c>
      <c r="B38" s="147">
        <f>DH!B38*4</f>
        <v>1</v>
      </c>
      <c r="C38" s="145">
        <f>1-(1-DH!B38)^4</f>
        <v>0.68359375</v>
      </c>
      <c r="E38" s="31"/>
      <c r="F38" s="144" t="s">
        <v>577</v>
      </c>
      <c r="G38" s="147">
        <f>DH!F38*1</f>
        <v>0</v>
      </c>
      <c r="H38" s="145">
        <f>1-(1-DH!F38)^1</f>
        <v>0</v>
      </c>
      <c r="J38" s="31"/>
      <c r="K38" s="144" t="s">
        <v>578</v>
      </c>
      <c r="L38" s="147">
        <f>DH!J38*1</f>
        <v>0</v>
      </c>
      <c r="M38" s="145">
        <f>1-(1-DH!J38)^1</f>
        <v>0</v>
      </c>
      <c r="O38" s="31"/>
      <c r="P38" s="144" t="s">
        <v>579</v>
      </c>
      <c r="Q38" s="147">
        <f>DH!N38*1</f>
        <v>0</v>
      </c>
      <c r="R38" s="145">
        <f>1-(1-DH!N38)^1</f>
        <v>0</v>
      </c>
      <c r="T38" s="21"/>
      <c r="U38" s="12"/>
      <c r="V38" s="12"/>
      <c r="W38" s="12"/>
      <c r="X38" s="12"/>
      <c r="Y38" s="12"/>
    </row>
    <row r="39" ht="15.0" customHeight="1">
      <c r="A39" s="153" t="s">
        <v>580</v>
      </c>
      <c r="B39" s="143">
        <f>DH!B39*1</f>
        <v>0</v>
      </c>
      <c r="C39" s="141">
        <f>1-(1-DH!B39)^1</f>
        <v>0</v>
      </c>
      <c r="E39" s="31"/>
      <c r="F39" s="148" t="s">
        <v>581</v>
      </c>
      <c r="G39" s="143">
        <f>DH!F39*1</f>
        <v>0</v>
      </c>
      <c r="H39" s="141">
        <f>1-(1-DH!F39)^1</f>
        <v>0</v>
      </c>
      <c r="J39" s="31"/>
      <c r="K39" s="148" t="s">
        <v>582</v>
      </c>
      <c r="L39" s="143">
        <f>DH!J39*1</f>
        <v>0</v>
      </c>
      <c r="M39" s="141">
        <f>1-(1-DH!J39)^1</f>
        <v>0</v>
      </c>
      <c r="O39" s="31"/>
      <c r="P39" s="148" t="s">
        <v>583</v>
      </c>
      <c r="Q39" s="143">
        <f>DH!N39*1</f>
        <v>0</v>
      </c>
      <c r="R39" s="141">
        <f>1-(1-DH!N39)^1</f>
        <v>0</v>
      </c>
      <c r="T39" s="21"/>
      <c r="U39" s="12"/>
      <c r="V39" s="12"/>
      <c r="W39" s="12"/>
      <c r="X39" s="12"/>
      <c r="Y39" s="12"/>
    </row>
    <row r="40" ht="15.0" customHeight="1">
      <c r="A40" s="152" t="s">
        <v>584</v>
      </c>
      <c r="B40" s="147">
        <f>DH!B40*1</f>
        <v>0</v>
      </c>
      <c r="C40" s="145">
        <f>1-(1-DH!B40)^1</f>
        <v>0</v>
      </c>
      <c r="E40" s="31"/>
      <c r="F40" s="144" t="s">
        <v>585</v>
      </c>
      <c r="G40" s="147">
        <f>DH!F40*1</f>
        <v>0</v>
      </c>
      <c r="H40" s="145">
        <f>1-(1-DH!F40)^1</f>
        <v>0</v>
      </c>
      <c r="J40" s="31"/>
      <c r="K40" s="144" t="s">
        <v>586</v>
      </c>
      <c r="L40" s="147">
        <f>DH!J40*1</f>
        <v>0</v>
      </c>
      <c r="M40" s="145">
        <f>1-(1-DH!J40)^1</f>
        <v>0</v>
      </c>
      <c r="O40" s="31"/>
      <c r="P40" s="144" t="s">
        <v>587</v>
      </c>
      <c r="Q40" s="147">
        <f>DH!N40*1</f>
        <v>0</v>
      </c>
      <c r="R40" s="145">
        <f>1-(1-DH!N40)^1</f>
        <v>0</v>
      </c>
      <c r="T40" s="21"/>
      <c r="U40" s="12"/>
      <c r="V40" s="12"/>
      <c r="W40" s="12"/>
      <c r="X40" s="12"/>
      <c r="Y40" s="12"/>
    </row>
    <row r="41" ht="15.0" customHeight="1">
      <c r="A41" s="153" t="s">
        <v>588</v>
      </c>
      <c r="B41" s="143">
        <f>DH!B41*1</f>
        <v>0</v>
      </c>
      <c r="C41" s="141">
        <f>1-(1-DH!B41)^1</f>
        <v>0</v>
      </c>
      <c r="E41" s="31"/>
      <c r="F41" s="148" t="s">
        <v>589</v>
      </c>
      <c r="G41" s="143">
        <f>DH!F41*1</f>
        <v>0</v>
      </c>
      <c r="H41" s="141">
        <f>1-(1-DH!F41)^1</f>
        <v>0</v>
      </c>
      <c r="J41" s="31"/>
      <c r="K41" s="148" t="s">
        <v>590</v>
      </c>
      <c r="L41" s="143">
        <f>DH!J41*1</f>
        <v>0</v>
      </c>
      <c r="M41" s="141">
        <f>1-(1-DH!J41)^1</f>
        <v>0</v>
      </c>
      <c r="O41" s="31"/>
      <c r="P41" s="148" t="s">
        <v>591</v>
      </c>
      <c r="Q41" s="143">
        <f>DH!N41*1</f>
        <v>0</v>
      </c>
      <c r="R41" s="141">
        <f>1-(1-DH!N41)^1</f>
        <v>0</v>
      </c>
      <c r="T41" s="21"/>
      <c r="U41" s="12"/>
      <c r="V41" s="12"/>
      <c r="W41" s="12"/>
      <c r="X41" s="12"/>
      <c r="Y41" s="12"/>
    </row>
    <row r="42" ht="15.0" customHeight="1">
      <c r="A42" s="152" t="s">
        <v>592</v>
      </c>
      <c r="B42" s="147">
        <f>DH!B42*6</f>
        <v>0.24</v>
      </c>
      <c r="C42" s="145">
        <f>1-(1-DH!B42)^6</f>
        <v>0.2172422103</v>
      </c>
      <c r="E42" s="31"/>
      <c r="F42" s="144" t="s">
        <v>593</v>
      </c>
      <c r="G42" s="147">
        <f>DH!F42*1</f>
        <v>0</v>
      </c>
      <c r="H42" s="145">
        <f>1-(1-DH!F42)^1</f>
        <v>0</v>
      </c>
      <c r="J42" s="31"/>
      <c r="K42" s="144" t="s">
        <v>594</v>
      </c>
      <c r="L42" s="147">
        <f>DH!J42*1</f>
        <v>0</v>
      </c>
      <c r="M42" s="145">
        <f>1-(1-DH!J42)^1</f>
        <v>0</v>
      </c>
      <c r="O42" s="31"/>
      <c r="P42" s="144" t="s">
        <v>595</v>
      </c>
      <c r="Q42" s="147">
        <f>DH!N42*1</f>
        <v>0</v>
      </c>
      <c r="R42" s="145">
        <f>1-(1-DH!N42)^1</f>
        <v>0</v>
      </c>
      <c r="T42" s="21"/>
      <c r="U42" s="12"/>
      <c r="V42" s="12"/>
      <c r="W42" s="12"/>
      <c r="X42" s="12"/>
      <c r="Y42" s="12"/>
    </row>
    <row r="43" ht="15.0" customHeight="1">
      <c r="A43" s="10"/>
      <c r="B43" s="26"/>
      <c r="C43" s="26"/>
      <c r="D43" s="41"/>
      <c r="E43" s="10"/>
      <c r="F43" s="10"/>
      <c r="G43" s="26"/>
      <c r="H43" s="26"/>
      <c r="I43" s="41"/>
      <c r="J43" s="10"/>
      <c r="K43" s="10"/>
      <c r="L43" s="26"/>
      <c r="M43" s="26"/>
      <c r="N43" s="41"/>
      <c r="O43" s="10"/>
      <c r="P43" s="10"/>
      <c r="Q43" s="26"/>
      <c r="R43" s="26"/>
      <c r="S43" s="42"/>
      <c r="T43" s="12"/>
      <c r="U43" s="12"/>
      <c r="V43" s="12"/>
      <c r="W43" s="12"/>
      <c r="X43" s="12"/>
      <c r="Y43" s="12"/>
    </row>
    <row r="44" ht="15.75" customHeight="1">
      <c r="A44" s="113"/>
      <c r="B44" s="29" t="s">
        <v>338</v>
      </c>
      <c r="C44" s="29" t="s">
        <v>339</v>
      </c>
      <c r="D44" s="30" t="s">
        <v>596</v>
      </c>
      <c r="E44" s="31"/>
      <c r="F44" s="28"/>
      <c r="G44" s="29" t="s">
        <v>338</v>
      </c>
      <c r="H44" s="29" t="s">
        <v>339</v>
      </c>
      <c r="I44" s="30" t="s">
        <v>597</v>
      </c>
      <c r="J44" s="31"/>
      <c r="K44" s="28"/>
      <c r="L44" s="29" t="s">
        <v>338</v>
      </c>
      <c r="M44" s="29" t="s">
        <v>339</v>
      </c>
      <c r="N44" s="43" t="s">
        <v>598</v>
      </c>
      <c r="O44" s="31"/>
      <c r="P44" s="28"/>
      <c r="Q44" s="29" t="s">
        <v>338</v>
      </c>
      <c r="R44" s="29" t="s">
        <v>339</v>
      </c>
      <c r="S44" s="43" t="s">
        <v>599</v>
      </c>
      <c r="T44" s="21"/>
      <c r="U44" s="12"/>
      <c r="V44" s="12"/>
      <c r="W44" s="12"/>
      <c r="X44" s="12"/>
      <c r="Y44" s="12"/>
    </row>
    <row r="45" ht="17.25" customHeight="1">
      <c r="A45" s="149" t="s">
        <v>18</v>
      </c>
      <c r="B45" s="139">
        <f t="shared" ref="B45:C45" si="17">AVERAGE(B46:B51)</f>
        <v>0.3333333333</v>
      </c>
      <c r="C45" s="138">
        <f t="shared" si="17"/>
        <v>0.3266666667</v>
      </c>
      <c r="E45" s="31"/>
      <c r="F45" s="137" t="s">
        <v>18</v>
      </c>
      <c r="G45" s="139">
        <f t="shared" ref="G45:H45" si="18">AVERAGE(G46:G51)</f>
        <v>0.1638888889</v>
      </c>
      <c r="H45" s="138">
        <f t="shared" si="18"/>
        <v>0.1638888889</v>
      </c>
      <c r="J45" s="31"/>
      <c r="K45" s="137" t="s">
        <v>18</v>
      </c>
      <c r="L45" s="139">
        <f t="shared" ref="L45:M45" si="19">AVERAGE(L46:L51)</f>
        <v>0</v>
      </c>
      <c r="M45" s="138">
        <f t="shared" si="19"/>
        <v>0</v>
      </c>
      <c r="O45" s="31"/>
      <c r="P45" s="137" t="s">
        <v>18</v>
      </c>
      <c r="Q45" s="139">
        <f t="shared" ref="Q45:R45" si="20">AVERAGE(Q46:Q51)</f>
        <v>0.4083333333</v>
      </c>
      <c r="R45" s="138">
        <f t="shared" si="20"/>
        <v>0.3455278591</v>
      </c>
      <c r="T45" s="21"/>
      <c r="U45" s="12"/>
      <c r="V45" s="12"/>
      <c r="W45" s="12"/>
      <c r="X45" s="12"/>
      <c r="Y45" s="12"/>
    </row>
    <row r="46" ht="15.0" customHeight="1">
      <c r="A46" s="150" t="s">
        <v>19</v>
      </c>
      <c r="B46" s="143">
        <f>DH!B46*1</f>
        <v>0.3333333333</v>
      </c>
      <c r="C46" s="141">
        <f>1-(1-DH!B46)^1</f>
        <v>0.3333333333</v>
      </c>
      <c r="E46" s="151"/>
      <c r="F46" s="140" t="s">
        <v>19</v>
      </c>
      <c r="G46" s="143">
        <f>DH!F46*1</f>
        <v>0.15</v>
      </c>
      <c r="H46" s="141">
        <f>1-(1-DH!F46)^1</f>
        <v>0.15</v>
      </c>
      <c r="J46" s="31"/>
      <c r="K46" s="140" t="s">
        <v>19</v>
      </c>
      <c r="L46" s="143">
        <f>DH!J46*1</f>
        <v>0</v>
      </c>
      <c r="M46" s="141">
        <f>1-(1-DH!J46)^1</f>
        <v>0</v>
      </c>
      <c r="O46" s="31"/>
      <c r="P46" s="140" t="s">
        <v>19</v>
      </c>
      <c r="Q46" s="143">
        <f>DH!N46*8</f>
        <v>0.4</v>
      </c>
      <c r="R46" s="141">
        <f>1-(1-DH!N46)^8</f>
        <v>0.3365795687</v>
      </c>
      <c r="T46" s="21"/>
      <c r="U46" s="12"/>
      <c r="V46" s="12"/>
      <c r="W46" s="12"/>
      <c r="X46" s="12"/>
      <c r="Y46" s="12"/>
    </row>
    <row r="47" ht="15.0" customHeight="1">
      <c r="A47" s="152" t="s">
        <v>600</v>
      </c>
      <c r="B47" s="147">
        <f>DH!B47*1</f>
        <v>0.4</v>
      </c>
      <c r="C47" s="145">
        <f>1-(1-DH!B47)^1</f>
        <v>0.4</v>
      </c>
      <c r="E47" s="31"/>
      <c r="F47" s="144" t="s">
        <v>601</v>
      </c>
      <c r="G47" s="147">
        <f>DH!F47*1</f>
        <v>0.15</v>
      </c>
      <c r="H47" s="145">
        <f>1-(1-DH!F47)^1</f>
        <v>0.15</v>
      </c>
      <c r="J47" s="31"/>
      <c r="K47" s="144" t="s">
        <v>602</v>
      </c>
      <c r="L47" s="147">
        <f>DH!J47*1</f>
        <v>0</v>
      </c>
      <c r="M47" s="145">
        <f>1-(1-DH!J47)^1</f>
        <v>0</v>
      </c>
      <c r="O47" s="31"/>
      <c r="P47" s="144" t="s">
        <v>603</v>
      </c>
      <c r="Q47" s="147">
        <f>DH!N47*6</f>
        <v>0.3</v>
      </c>
      <c r="R47" s="145">
        <f>1-(1-DH!N47)^6</f>
        <v>0.2649081094</v>
      </c>
      <c r="T47" s="21"/>
      <c r="U47" s="12"/>
      <c r="V47" s="12"/>
      <c r="W47" s="12"/>
      <c r="X47" s="12"/>
      <c r="Y47" s="12"/>
    </row>
    <row r="48" ht="15.0" customHeight="1">
      <c r="A48" s="153" t="s">
        <v>604</v>
      </c>
      <c r="B48" s="143">
        <f>DH!B48*1</f>
        <v>0.3333333333</v>
      </c>
      <c r="C48" s="141">
        <f>1-(1-DH!B48)^1</f>
        <v>0.3333333333</v>
      </c>
      <c r="E48" s="31"/>
      <c r="F48" s="148" t="s">
        <v>605</v>
      </c>
      <c r="G48" s="143">
        <f>DH!F48*1</f>
        <v>0.3333333333</v>
      </c>
      <c r="H48" s="141">
        <f>1-(1-DH!F48)^1</f>
        <v>0.3333333333</v>
      </c>
      <c r="J48" s="31"/>
      <c r="K48" s="148" t="s">
        <v>606</v>
      </c>
      <c r="L48" s="143">
        <f>DH!J48*1</f>
        <v>0</v>
      </c>
      <c r="M48" s="141">
        <f>1-(1-DH!J48)^1</f>
        <v>0</v>
      </c>
      <c r="O48" s="31"/>
      <c r="P48" s="148" t="s">
        <v>607</v>
      </c>
      <c r="Q48" s="143">
        <f>DH!N48*11</f>
        <v>0.55</v>
      </c>
      <c r="R48" s="141">
        <f>1-(1-DH!N48)^11</f>
        <v>0.4311999077</v>
      </c>
      <c r="T48" s="21"/>
      <c r="U48" s="12"/>
      <c r="V48" s="12"/>
      <c r="W48" s="12"/>
      <c r="X48" s="12"/>
      <c r="Y48" s="12"/>
    </row>
    <row r="49" ht="15.0" customHeight="1">
      <c r="A49" s="152" t="s">
        <v>608</v>
      </c>
      <c r="B49" s="147">
        <f>DH!B49*1</f>
        <v>0.2</v>
      </c>
      <c r="C49" s="145">
        <f>1-(1-DH!B49)^1</f>
        <v>0.2</v>
      </c>
      <c r="E49" s="31"/>
      <c r="F49" s="144" t="s">
        <v>609</v>
      </c>
      <c r="G49" s="147">
        <f>DH!F49*1</f>
        <v>0.15</v>
      </c>
      <c r="H49" s="145">
        <f>1-(1-DH!F49)^1</f>
        <v>0.15</v>
      </c>
      <c r="J49" s="31"/>
      <c r="K49" s="144" t="s">
        <v>610</v>
      </c>
      <c r="L49" s="147">
        <f>DH!J49*3</f>
        <v>0</v>
      </c>
      <c r="M49" s="145">
        <f>1-(1-DH!J49)^3</f>
        <v>0</v>
      </c>
      <c r="O49" s="31"/>
      <c r="P49" s="144" t="s">
        <v>611</v>
      </c>
      <c r="Q49" s="147">
        <f>DH!N49*2</f>
        <v>0.4</v>
      </c>
      <c r="R49" s="145">
        <f>1-(1-DH!N49)^2</f>
        <v>0.36</v>
      </c>
      <c r="T49" s="21"/>
      <c r="U49" s="12"/>
      <c r="V49" s="12"/>
      <c r="W49" s="12"/>
      <c r="X49" s="12"/>
      <c r="Y49" s="12"/>
    </row>
    <row r="50" ht="15.0" customHeight="1">
      <c r="A50" s="153" t="s">
        <v>612</v>
      </c>
      <c r="B50" s="143">
        <f>DH!B50*1</f>
        <v>0.3333333333</v>
      </c>
      <c r="C50" s="141">
        <f>1-(1-DH!B50)^1</f>
        <v>0.3333333333</v>
      </c>
      <c r="E50" s="31"/>
      <c r="F50" s="148" t="s">
        <v>613</v>
      </c>
      <c r="G50" s="143">
        <f>DH!F50*1</f>
        <v>0.15</v>
      </c>
      <c r="H50" s="141">
        <f>1-(1-DH!F50)^1</f>
        <v>0.15</v>
      </c>
      <c r="J50" s="31"/>
      <c r="K50" s="148" t="s">
        <v>614</v>
      </c>
      <c r="L50" s="143">
        <f>DH!J50*1</f>
        <v>0</v>
      </c>
      <c r="M50" s="141">
        <f>1-(1-DH!J50)^1</f>
        <v>0</v>
      </c>
      <c r="O50" s="31"/>
      <c r="P50" s="148" t="s">
        <v>615</v>
      </c>
      <c r="Q50" s="143">
        <f>DH!N50*8</f>
        <v>0.4</v>
      </c>
      <c r="R50" s="141">
        <f>1-(1-DH!N50)^8</f>
        <v>0.3365795687</v>
      </c>
      <c r="T50" s="21"/>
      <c r="U50" s="12"/>
      <c r="V50" s="12"/>
      <c r="W50" s="12"/>
      <c r="X50" s="12"/>
      <c r="Y50" s="12"/>
    </row>
    <row r="51" ht="15.0" customHeight="1">
      <c r="A51" s="152" t="s">
        <v>616</v>
      </c>
      <c r="B51" s="147">
        <f>DH!B51*2</f>
        <v>0.4</v>
      </c>
      <c r="C51" s="145">
        <f>1-(1-DH!B51)^2</f>
        <v>0.36</v>
      </c>
      <c r="E51" s="31"/>
      <c r="F51" s="144" t="s">
        <v>617</v>
      </c>
      <c r="G51" s="147">
        <f>DH!F51*1</f>
        <v>0.05</v>
      </c>
      <c r="H51" s="145">
        <f>1-(1-DH!F51)^1</f>
        <v>0.05</v>
      </c>
      <c r="J51" s="31"/>
      <c r="K51" s="144" t="s">
        <v>618</v>
      </c>
      <c r="L51" s="147">
        <f>DH!J51*1</f>
        <v>0</v>
      </c>
      <c r="M51" s="145">
        <f>1-(1-DH!J51)^1</f>
        <v>0</v>
      </c>
      <c r="O51" s="31"/>
      <c r="P51" s="144" t="s">
        <v>619</v>
      </c>
      <c r="Q51" s="147">
        <f>DH!N51*4</f>
        <v>0.4</v>
      </c>
      <c r="R51" s="145">
        <f>1-(1-DH!N51)^4</f>
        <v>0.3439</v>
      </c>
      <c r="T51" s="21"/>
      <c r="U51" s="12"/>
      <c r="V51" s="12"/>
      <c r="W51" s="12"/>
      <c r="X51" s="12"/>
      <c r="Y51" s="12"/>
    </row>
    <row r="52" ht="15.0" customHeight="1">
      <c r="A52" s="10"/>
      <c r="B52" s="26"/>
      <c r="C52" s="26"/>
      <c r="D52" s="41"/>
      <c r="E52" s="10"/>
      <c r="F52" s="10"/>
      <c r="G52" s="26"/>
      <c r="H52" s="26"/>
      <c r="I52" s="41"/>
      <c r="J52" s="10"/>
      <c r="K52" s="10"/>
      <c r="L52" s="26"/>
      <c r="M52" s="26"/>
      <c r="N52" s="41"/>
      <c r="O52" s="10"/>
      <c r="P52" s="10"/>
      <c r="Q52" s="26"/>
      <c r="R52" s="26"/>
      <c r="S52" s="42"/>
      <c r="T52" s="12"/>
      <c r="U52" s="12"/>
      <c r="V52" s="12"/>
      <c r="W52" s="12"/>
      <c r="X52" s="12"/>
      <c r="Y52" s="12"/>
    </row>
    <row r="53" ht="15.75" customHeight="1">
      <c r="A53" s="113"/>
      <c r="B53" s="29" t="s">
        <v>338</v>
      </c>
      <c r="C53" s="29" t="s">
        <v>339</v>
      </c>
      <c r="D53" s="30" t="s">
        <v>620</v>
      </c>
      <c r="E53" s="21"/>
      <c r="F53" s="28"/>
      <c r="G53" s="29" t="s">
        <v>338</v>
      </c>
      <c r="H53" s="29" t="s">
        <v>339</v>
      </c>
      <c r="I53" s="30" t="s">
        <v>621</v>
      </c>
      <c r="J53" s="31"/>
      <c r="K53" s="28"/>
      <c r="L53" s="29" t="s">
        <v>338</v>
      </c>
      <c r="M53" s="29" t="s">
        <v>339</v>
      </c>
      <c r="N53" s="30" t="s">
        <v>622</v>
      </c>
      <c r="O53" s="31"/>
      <c r="P53" s="28"/>
      <c r="Q53" s="29" t="s">
        <v>338</v>
      </c>
      <c r="R53" s="29" t="s">
        <v>339</v>
      </c>
      <c r="S53" s="43" t="s">
        <v>623</v>
      </c>
      <c r="T53" s="21"/>
      <c r="U53" s="12"/>
      <c r="V53" s="12"/>
      <c r="W53" s="12"/>
      <c r="X53" s="12"/>
      <c r="Y53" s="12"/>
    </row>
    <row r="54" ht="17.25" customHeight="1">
      <c r="A54" s="149" t="s">
        <v>18</v>
      </c>
      <c r="B54" s="139">
        <f t="shared" ref="B54:C54" si="21">AVERAGE(B55:B60)</f>
        <v>0.8466666667</v>
      </c>
      <c r="C54" s="138">
        <f t="shared" si="21"/>
        <v>0.5898447186</v>
      </c>
      <c r="E54" s="21"/>
      <c r="F54" s="137" t="s">
        <v>18</v>
      </c>
      <c r="G54" s="139">
        <f t="shared" ref="G54:H54" si="22">AVERAGE(G55:G60)</f>
        <v>0.2933333333</v>
      </c>
      <c r="H54" s="138">
        <f t="shared" si="22"/>
        <v>0.2812666667</v>
      </c>
      <c r="J54" s="31"/>
      <c r="K54" s="137" t="s">
        <v>18</v>
      </c>
      <c r="L54" s="139">
        <f t="shared" ref="L54:M54" si="23">AVERAGE(L55:L60)</f>
        <v>0.325</v>
      </c>
      <c r="M54" s="138">
        <f t="shared" si="23"/>
        <v>0.2975</v>
      </c>
      <c r="O54" s="31"/>
      <c r="P54" s="137" t="s">
        <v>18</v>
      </c>
      <c r="Q54" s="139">
        <f t="shared" ref="Q54:R54" si="24">AVERAGE(Q55:Q60)</f>
        <v>0.1482333333</v>
      </c>
      <c r="R54" s="138">
        <f t="shared" si="24"/>
        <v>0.1428150026</v>
      </c>
      <c r="T54" s="21"/>
      <c r="U54" s="12"/>
      <c r="V54" s="12"/>
      <c r="W54" s="12"/>
      <c r="X54" s="12"/>
      <c r="Y54" s="12"/>
    </row>
    <row r="55" ht="15.0" customHeight="1">
      <c r="A55" s="150" t="s">
        <v>19</v>
      </c>
      <c r="B55" s="143">
        <f>DH!B55*4</f>
        <v>1</v>
      </c>
      <c r="C55" s="141">
        <f>1-(1-DH!B55)^4</f>
        <v>0.68359375</v>
      </c>
      <c r="E55" s="21"/>
      <c r="F55" s="140" t="s">
        <v>19</v>
      </c>
      <c r="G55" s="143">
        <f>DH!F55*1</f>
        <v>0.25</v>
      </c>
      <c r="H55" s="141">
        <f>1-(1-DH!F55)^1</f>
        <v>0.25</v>
      </c>
      <c r="J55" s="31"/>
      <c r="K55" s="140" t="s">
        <v>19</v>
      </c>
      <c r="L55" s="143">
        <f>DH!J55*2</f>
        <v>0.3</v>
      </c>
      <c r="M55" s="141">
        <f>1-(1-DH!J55)^2</f>
        <v>0.2775</v>
      </c>
      <c r="O55" s="31"/>
      <c r="P55" s="140" t="s">
        <v>19</v>
      </c>
      <c r="Q55" s="143">
        <f>DH!N55*2.5</f>
        <v>0.1</v>
      </c>
      <c r="R55" s="141">
        <f>1-(1-DH!N55)^2.5</f>
        <v>0.09702010122</v>
      </c>
      <c r="T55" s="21"/>
      <c r="U55" s="12"/>
      <c r="V55" s="12"/>
      <c r="W55" s="12"/>
      <c r="X55" s="12"/>
      <c r="Y55" s="12"/>
    </row>
    <row r="56" ht="15.0" customHeight="1">
      <c r="A56" s="152" t="s">
        <v>624</v>
      </c>
      <c r="B56" s="147">
        <f>DH!B56*(4+4)</f>
        <v>0.48</v>
      </c>
      <c r="C56" s="145">
        <f>1-(1-DH!B56)^(4+4)</f>
        <v>0.3904310615</v>
      </c>
      <c r="E56" s="21"/>
      <c r="F56" s="144" t="s">
        <v>625</v>
      </c>
      <c r="G56" s="147">
        <f>DH!F56*1</f>
        <v>0.25</v>
      </c>
      <c r="H56" s="145">
        <f>1-(1-DH!F56)^1</f>
        <v>0.25</v>
      </c>
      <c r="J56" s="31"/>
      <c r="K56" s="144" t="s">
        <v>626</v>
      </c>
      <c r="L56" s="147">
        <f>DH!J56*2</f>
        <v>0.4</v>
      </c>
      <c r="M56" s="145">
        <f>1-(1-DH!J56)^2</f>
        <v>0.36</v>
      </c>
      <c r="O56" s="31"/>
      <c r="P56" s="144" t="s">
        <v>627</v>
      </c>
      <c r="Q56" s="147">
        <f>DH!N56*1.33</f>
        <v>0.0798</v>
      </c>
      <c r="R56" s="145">
        <f>1-(1-DH!N56)^1.33</f>
        <v>0.07899911972</v>
      </c>
      <c r="T56" s="21"/>
      <c r="U56" s="12"/>
      <c r="V56" s="12"/>
      <c r="W56" s="12"/>
      <c r="X56" s="12"/>
      <c r="Y56" s="12"/>
    </row>
    <row r="57" ht="15.0" customHeight="1">
      <c r="A57" s="153" t="s">
        <v>628</v>
      </c>
      <c r="B57" s="143">
        <f>DH!B57*4</f>
        <v>1</v>
      </c>
      <c r="C57" s="141">
        <f>1-(1-DH!B57)^4</f>
        <v>0.68359375</v>
      </c>
      <c r="E57" s="21"/>
      <c r="F57" s="148" t="s">
        <v>629</v>
      </c>
      <c r="G57" s="143">
        <f>DH!F57*2</f>
        <v>0.4</v>
      </c>
      <c r="H57" s="141">
        <f>1-(1-DH!F57)^2</f>
        <v>0.36</v>
      </c>
      <c r="J57" s="31"/>
      <c r="K57" s="148" t="s">
        <v>630</v>
      </c>
      <c r="L57" s="143">
        <f>DH!J57*2</f>
        <v>0.4</v>
      </c>
      <c r="M57" s="141">
        <f>1-(1-DH!J57)^2</f>
        <v>0.36</v>
      </c>
      <c r="O57" s="31"/>
      <c r="P57" s="148" t="s">
        <v>631</v>
      </c>
      <c r="Q57" s="143">
        <f>DH!N57*2.5</f>
        <v>0.1</v>
      </c>
      <c r="R57" s="141">
        <f>1-(1-DH!N57)^2.5</f>
        <v>0.09702010122</v>
      </c>
      <c r="T57" s="21"/>
      <c r="U57" s="12"/>
      <c r="V57" s="12"/>
      <c r="W57" s="12"/>
      <c r="X57" s="12"/>
      <c r="Y57" s="12"/>
    </row>
    <row r="58" ht="15.0" customHeight="1">
      <c r="A58" s="152" t="s">
        <v>632</v>
      </c>
      <c r="B58" s="147">
        <f>DH!B58*4</f>
        <v>1</v>
      </c>
      <c r="C58" s="145">
        <f>1-(1-DH!B58)^4</f>
        <v>0.68359375</v>
      </c>
      <c r="E58" s="21"/>
      <c r="F58" s="144" t="s">
        <v>633</v>
      </c>
      <c r="G58" s="147">
        <f>DH!F58*1</f>
        <v>0.25</v>
      </c>
      <c r="H58" s="145">
        <f>1-(1-DH!F58)^1</f>
        <v>0.25</v>
      </c>
      <c r="J58" s="31"/>
      <c r="K58" s="144" t="s">
        <v>634</v>
      </c>
      <c r="L58" s="147">
        <f>DH!J58*2</f>
        <v>0.4</v>
      </c>
      <c r="M58" s="145">
        <f>1-(1-DH!J58)^2</f>
        <v>0.36</v>
      </c>
      <c r="O58" s="31"/>
      <c r="P58" s="144" t="s">
        <v>436</v>
      </c>
      <c r="Q58" s="147">
        <f>DH!N58*1</f>
        <v>0.15</v>
      </c>
      <c r="R58" s="145">
        <f>1-(1-DH!N58)^1</f>
        <v>0.15</v>
      </c>
      <c r="T58" s="21"/>
      <c r="U58" s="12"/>
      <c r="V58" s="12"/>
      <c r="W58" s="12"/>
      <c r="X58" s="12"/>
      <c r="Y58" s="12"/>
    </row>
    <row r="59" ht="15.0" customHeight="1">
      <c r="A59" s="153" t="s">
        <v>635</v>
      </c>
      <c r="B59" s="143">
        <f>DH!B59*6</f>
        <v>1.2</v>
      </c>
      <c r="C59" s="141">
        <f>1-(1-DH!B59)^6</f>
        <v>0.737856</v>
      </c>
      <c r="E59" s="21"/>
      <c r="F59" s="148" t="s">
        <v>636</v>
      </c>
      <c r="G59" s="143">
        <f>DH!F59*1</f>
        <v>0.25</v>
      </c>
      <c r="H59" s="141">
        <f>1-(1-DH!F59)^1</f>
        <v>0.25</v>
      </c>
      <c r="J59" s="31"/>
      <c r="K59" s="148" t="s">
        <v>637</v>
      </c>
      <c r="L59" s="143">
        <f>DH!J59*1</f>
        <v>0.15</v>
      </c>
      <c r="M59" s="141">
        <f>1-(1-DH!J59)^1</f>
        <v>0.15</v>
      </c>
      <c r="O59" s="31"/>
      <c r="P59" s="148" t="s">
        <v>638</v>
      </c>
      <c r="Q59" s="143">
        <f>DH!N59*1.33</f>
        <v>0.1596</v>
      </c>
      <c r="R59" s="141">
        <f>1-(1-DH!N59)^1.33</f>
        <v>0.1563506933</v>
      </c>
      <c r="T59" s="21"/>
      <c r="U59" s="12"/>
      <c r="V59" s="12"/>
      <c r="W59" s="12"/>
      <c r="X59" s="12"/>
      <c r="Y59" s="12"/>
    </row>
    <row r="60" ht="15.0" customHeight="1">
      <c r="A60" s="152" t="s">
        <v>639</v>
      </c>
      <c r="B60" s="147">
        <f>DH!B60*2</f>
        <v>0.4</v>
      </c>
      <c r="C60" s="145">
        <f>1-(1-DH!B60)^2</f>
        <v>0.36</v>
      </c>
      <c r="E60" s="21"/>
      <c r="F60" s="144" t="s">
        <v>640</v>
      </c>
      <c r="G60" s="147">
        <f>DH!F60*2</f>
        <v>0.36</v>
      </c>
      <c r="H60" s="145">
        <f>1-(1-DH!F60)^2</f>
        <v>0.3276</v>
      </c>
      <c r="J60" s="31"/>
      <c r="K60" s="144" t="s">
        <v>641</v>
      </c>
      <c r="L60" s="147">
        <f>DH!J60*2</f>
        <v>0.3</v>
      </c>
      <c r="M60" s="145">
        <f>1-(1-DH!J60)^2</f>
        <v>0.2775</v>
      </c>
      <c r="O60" s="31"/>
      <c r="P60" s="144" t="s">
        <v>642</v>
      </c>
      <c r="Q60" s="147">
        <f>DH!N60*2</f>
        <v>0.3</v>
      </c>
      <c r="R60" s="145">
        <f>1-(1-DH!N60)^2</f>
        <v>0.2775</v>
      </c>
      <c r="T60" s="21"/>
      <c r="U60" s="12"/>
      <c r="V60" s="12"/>
      <c r="W60" s="12"/>
      <c r="X60" s="12"/>
      <c r="Y60" s="12"/>
    </row>
    <row r="61" ht="15.0" customHeight="1">
      <c r="A61" s="12"/>
      <c r="B61" s="12"/>
      <c r="C61" s="12"/>
      <c r="D61" s="48"/>
      <c r="E61" s="12"/>
      <c r="F61" s="12"/>
      <c r="G61" s="12"/>
      <c r="H61" s="12"/>
      <c r="I61" s="48"/>
      <c r="J61" s="12"/>
      <c r="K61" s="12"/>
      <c r="L61" s="12"/>
      <c r="M61" s="12"/>
      <c r="N61" s="48"/>
      <c r="O61" s="12"/>
      <c r="P61" s="12"/>
      <c r="Q61" s="12"/>
      <c r="R61" s="12"/>
      <c r="S61" s="48"/>
      <c r="T61" s="12"/>
      <c r="U61" s="12"/>
      <c r="V61" s="12"/>
      <c r="W61" s="12"/>
      <c r="X61" s="12"/>
      <c r="Y61" s="12"/>
    </row>
    <row r="62" ht="15.0"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ht="17.25" customHeight="1">
      <c r="A63" s="129" t="s">
        <v>648</v>
      </c>
      <c r="V63" s="54"/>
      <c r="W63" s="54"/>
      <c r="X63" s="54"/>
      <c r="Y63" s="54"/>
    </row>
    <row r="64" ht="17.25" customHeight="1">
      <c r="A64" s="129" t="s">
        <v>649</v>
      </c>
      <c r="V64" s="54"/>
      <c r="W64" s="54"/>
      <c r="X64" s="54"/>
      <c r="Y64" s="54"/>
    </row>
    <row r="65" ht="17.25" customHeight="1">
      <c r="A65" s="129" t="s">
        <v>650</v>
      </c>
      <c r="V65" s="54"/>
      <c r="W65" s="54"/>
      <c r="X65" s="54"/>
      <c r="Y65" s="54"/>
    </row>
    <row r="66" ht="17.25" customHeight="1">
      <c r="A66" s="129" t="s">
        <v>651</v>
      </c>
      <c r="V66" s="54"/>
      <c r="W66" s="54"/>
      <c r="X66" s="54"/>
      <c r="Y66" s="54"/>
    </row>
    <row r="67" ht="15.0" customHeight="1">
      <c r="A67" s="54"/>
      <c r="V67" s="54"/>
      <c r="W67" s="54"/>
      <c r="X67" s="54"/>
      <c r="Y67" s="54"/>
    </row>
  </sheetData>
  <mergeCells count="37">
    <mergeCell ref="A1:Y1"/>
    <mergeCell ref="A2:Y2"/>
    <mergeCell ref="A3:Y3"/>
    <mergeCell ref="B4:F4"/>
    <mergeCell ref="G4:J4"/>
    <mergeCell ref="B5:F5"/>
    <mergeCell ref="G5:J6"/>
    <mergeCell ref="B6:F6"/>
    <mergeCell ref="D8:D15"/>
    <mergeCell ref="I8:I15"/>
    <mergeCell ref="S8:S15"/>
    <mergeCell ref="X8:X15"/>
    <mergeCell ref="I17:I24"/>
    <mergeCell ref="S17:S24"/>
    <mergeCell ref="I44:I51"/>
    <mergeCell ref="I53:I60"/>
    <mergeCell ref="D17:D24"/>
    <mergeCell ref="D26:D33"/>
    <mergeCell ref="I26:I33"/>
    <mergeCell ref="D35:D42"/>
    <mergeCell ref="I35:I42"/>
    <mergeCell ref="D44:D51"/>
    <mergeCell ref="D53:D60"/>
    <mergeCell ref="S44:S51"/>
    <mergeCell ref="S53:S60"/>
    <mergeCell ref="A63:U63"/>
    <mergeCell ref="A64:U64"/>
    <mergeCell ref="A65:U65"/>
    <mergeCell ref="A66:U66"/>
    <mergeCell ref="A67:U67"/>
    <mergeCell ref="N8:N15"/>
    <mergeCell ref="N17:N24"/>
    <mergeCell ref="N26:N33"/>
    <mergeCell ref="N35:N42"/>
    <mergeCell ref="S35:S42"/>
    <mergeCell ref="N44:N51"/>
    <mergeCell ref="N53:N60"/>
  </mergeCells>
  <hyperlinks>
    <hyperlink r:id="rId1" ref="G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3.75"/>
    <col customWidth="1" min="2" max="4" width="8.75"/>
    <col customWidth="1" min="5" max="5" width="9.38"/>
    <col customWidth="1" min="6" max="6" width="22.13"/>
    <col customWidth="1" min="7" max="9" width="8.75"/>
    <col customWidth="1" min="10" max="10" width="10.75"/>
    <col customWidth="1" min="11" max="11" width="23.5"/>
    <col customWidth="1" min="12" max="14" width="8.75"/>
    <col customWidth="1" min="15" max="15" width="10.63"/>
    <col customWidth="1" min="16" max="16" width="25.88"/>
    <col customWidth="1" min="17" max="20" width="8.75"/>
    <col customWidth="1" min="21" max="21" width="10.0"/>
    <col customWidth="1" min="22" max="25" width="8.75"/>
  </cols>
  <sheetData>
    <row r="1" ht="22.5" customHeight="1">
      <c r="A1" s="66" t="str">
        <f>Barb!A1</f>
        <v>- OUTDATED -
</v>
      </c>
    </row>
    <row r="2" ht="22.5"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2.5" customHeight="1">
      <c r="A3" s="4"/>
      <c r="B3" s="4"/>
      <c r="C3" s="4"/>
      <c r="D3" s="4"/>
      <c r="E3" s="4"/>
      <c r="F3" s="4"/>
      <c r="G3" s="4"/>
      <c r="H3" s="4"/>
      <c r="I3" s="4"/>
      <c r="J3" s="4"/>
      <c r="K3" s="4"/>
      <c r="L3" s="4"/>
      <c r="M3" s="4"/>
      <c r="N3" s="4"/>
      <c r="O3" s="4"/>
      <c r="P3" s="4"/>
      <c r="Q3" s="4"/>
      <c r="R3" s="4"/>
      <c r="S3" s="4"/>
      <c r="T3" s="4"/>
      <c r="U3" s="4"/>
      <c r="V3" s="4"/>
      <c r="W3" s="4"/>
      <c r="X3" s="4"/>
      <c r="Y3" s="4"/>
    </row>
    <row r="4" ht="22.5" customHeight="1">
      <c r="A4" s="80" t="str">
        <f>Barb!A4</f>
        <v>100% tested (2.0.6)</v>
      </c>
      <c r="B4" s="81" t="str">
        <f>Barb!B4</f>
        <v>Proc Coefficients</v>
      </c>
      <c r="C4" s="7"/>
      <c r="D4" s="7"/>
      <c r="E4" s="7"/>
      <c r="F4" s="8"/>
      <c r="G4" s="70" t="str">
        <f>Barb!G4</f>
        <v>Downloadable Sheet:</v>
      </c>
      <c r="H4" s="7"/>
      <c r="I4" s="8"/>
      <c r="J4" s="10"/>
      <c r="K4" s="10"/>
      <c r="L4" s="10"/>
      <c r="M4" s="10"/>
      <c r="N4" s="10"/>
      <c r="O4" s="10"/>
      <c r="P4" s="82" t="str">
        <f>Barb!M4</f>
        <v>Donate</v>
      </c>
      <c r="Q4" s="12"/>
      <c r="R4" s="12"/>
      <c r="S4" s="12"/>
      <c r="T4" s="12"/>
      <c r="U4" s="13"/>
      <c r="V4" s="7"/>
      <c r="W4" s="7"/>
      <c r="X4" s="7"/>
      <c r="Y4" s="7"/>
    </row>
    <row r="5" ht="15.75" customHeight="1">
      <c r="A5" s="83" t="str">
        <f>Barb!A5</f>
        <v>Updated: 7/10/14</v>
      </c>
      <c r="B5" s="84" t="str">
        <f>Barb!B5</f>
        <v>(per hit/tick)</v>
      </c>
      <c r="C5" s="7"/>
      <c r="D5" s="7"/>
      <c r="E5" s="7"/>
      <c r="F5" s="8"/>
      <c r="G5" s="74" t="s">
        <v>8</v>
      </c>
      <c r="H5" s="17"/>
      <c r="I5" s="17"/>
      <c r="J5" s="17"/>
      <c r="K5" s="18"/>
      <c r="L5" s="10"/>
      <c r="M5" s="10"/>
      <c r="N5" s="10"/>
      <c r="O5" s="10"/>
      <c r="P5" s="19" t="s">
        <v>9</v>
      </c>
      <c r="Q5" s="161" t="s">
        <v>10</v>
      </c>
      <c r="R5" s="12"/>
      <c r="S5" s="12"/>
      <c r="T5" s="12"/>
      <c r="U5" s="13"/>
      <c r="V5" s="7"/>
      <c r="W5" s="7"/>
      <c r="X5" s="7"/>
      <c r="Y5" s="7"/>
    </row>
    <row r="6" ht="38.25" customHeight="1">
      <c r="A6" s="162"/>
      <c r="B6" s="163" t="s">
        <v>652</v>
      </c>
      <c r="C6" s="7"/>
      <c r="D6" s="7"/>
      <c r="E6" s="7"/>
      <c r="F6" s="8"/>
      <c r="G6" s="23"/>
      <c r="H6" s="4"/>
      <c r="I6" s="4"/>
      <c r="J6" s="4"/>
      <c r="K6" s="24"/>
      <c r="L6" s="10"/>
      <c r="M6" s="10"/>
      <c r="N6" s="10"/>
      <c r="O6" s="10"/>
      <c r="P6" s="25" t="s">
        <v>653</v>
      </c>
      <c r="Q6" s="12"/>
      <c r="R6" s="12"/>
      <c r="S6" s="12"/>
      <c r="T6" s="12"/>
      <c r="U6" s="13"/>
      <c r="V6" s="7"/>
      <c r="W6" s="7"/>
      <c r="X6" s="7"/>
      <c r="Y6" s="7"/>
    </row>
    <row r="7" ht="15.0" customHeight="1">
      <c r="A7" s="10"/>
      <c r="B7" s="26"/>
      <c r="C7" s="26"/>
      <c r="D7" s="26"/>
      <c r="E7" s="10"/>
      <c r="F7" s="10"/>
      <c r="G7" s="26"/>
      <c r="H7" s="26"/>
      <c r="I7" s="26"/>
      <c r="J7" s="10"/>
      <c r="K7" s="10"/>
      <c r="L7" s="26"/>
      <c r="M7" s="26"/>
      <c r="N7" s="26"/>
      <c r="O7" s="10"/>
      <c r="P7" s="10"/>
      <c r="Q7" s="27"/>
      <c r="R7" s="164"/>
      <c r="S7" s="27"/>
      <c r="T7" s="27"/>
      <c r="U7" s="13"/>
      <c r="V7" s="7"/>
      <c r="W7" s="7"/>
      <c r="X7" s="7"/>
      <c r="Y7" s="7"/>
    </row>
    <row r="8" ht="15.0" customHeight="1">
      <c r="A8" s="28"/>
      <c r="B8" s="29" t="s">
        <v>13</v>
      </c>
      <c r="C8" s="165" t="s">
        <v>654</v>
      </c>
      <c r="D8" s="30" t="s">
        <v>655</v>
      </c>
      <c r="E8" s="21"/>
      <c r="F8" s="28"/>
      <c r="G8" s="29" t="s">
        <v>13</v>
      </c>
      <c r="H8" s="165" t="s">
        <v>654</v>
      </c>
      <c r="I8" s="30" t="s">
        <v>656</v>
      </c>
      <c r="J8" s="31"/>
      <c r="K8" s="28"/>
      <c r="L8" s="29" t="s">
        <v>13</v>
      </c>
      <c r="M8" s="166" t="s">
        <v>654</v>
      </c>
      <c r="N8" s="30" t="s">
        <v>657</v>
      </c>
      <c r="O8" s="31"/>
      <c r="P8" s="28"/>
      <c r="Q8" s="29" t="s">
        <v>13</v>
      </c>
      <c r="R8" s="165" t="s">
        <v>658</v>
      </c>
      <c r="S8" s="165" t="s">
        <v>654</v>
      </c>
      <c r="T8" s="43" t="s">
        <v>659</v>
      </c>
      <c r="U8" s="96"/>
      <c r="V8" s="7"/>
      <c r="W8" s="7"/>
      <c r="X8" s="7"/>
      <c r="Y8" s="7"/>
    </row>
    <row r="9" ht="17.25" customHeight="1">
      <c r="A9" s="167" t="s">
        <v>18</v>
      </c>
      <c r="B9" s="168">
        <f t="shared" ref="B9:C9" si="1">AVERAGE(B10:B15)</f>
        <v>0.7123655914</v>
      </c>
      <c r="C9" s="169">
        <f t="shared" si="1"/>
        <v>0.5133333333</v>
      </c>
      <c r="E9" s="21"/>
      <c r="F9" s="167" t="s">
        <v>18</v>
      </c>
      <c r="G9" s="168">
        <f t="shared" ref="G9:H9" si="2">AVERAGE(G10:G15)</f>
        <v>0.85</v>
      </c>
      <c r="H9" s="169">
        <f t="shared" si="2"/>
        <v>0.6416666667</v>
      </c>
      <c r="J9" s="31"/>
      <c r="K9" s="167" t="s">
        <v>18</v>
      </c>
      <c r="L9" s="168">
        <f t="shared" ref="L9:M9" si="3">AVERAGE(L10:L15)</f>
        <v>0.75</v>
      </c>
      <c r="M9" s="170">
        <f t="shared" si="3"/>
        <v>0.475</v>
      </c>
      <c r="O9" s="31"/>
      <c r="P9" s="167" t="s">
        <v>18</v>
      </c>
      <c r="Q9" s="168">
        <f t="shared" ref="Q9:S9" si="4">AVERAGE(Q10:Q15)</f>
        <v>0.75</v>
      </c>
      <c r="R9" s="168">
        <f t="shared" si="4"/>
        <v>0.105</v>
      </c>
      <c r="S9" s="169">
        <f t="shared" si="4"/>
        <v>0.5833333333</v>
      </c>
      <c r="U9" s="96"/>
      <c r="V9" s="7"/>
      <c r="W9" s="7"/>
      <c r="X9" s="7"/>
      <c r="Y9" s="7"/>
    </row>
    <row r="10" ht="15.0" customHeight="1">
      <c r="A10" s="171" t="s">
        <v>19</v>
      </c>
      <c r="B10" s="172">
        <f>53/62</f>
        <v>0.8548387097</v>
      </c>
      <c r="C10" s="173">
        <f t="shared" ref="C10:C12" si="5">77/125</f>
        <v>0.616</v>
      </c>
      <c r="E10" s="21"/>
      <c r="F10" s="171" t="s">
        <v>19</v>
      </c>
      <c r="G10" s="172">
        <f t="shared" ref="G10:G15" si="6">17/20</f>
        <v>0.85</v>
      </c>
      <c r="H10" s="173">
        <f>3/4</f>
        <v>0.75</v>
      </c>
      <c r="J10" s="31"/>
      <c r="K10" s="171" t="s">
        <v>19</v>
      </c>
      <c r="L10" s="172">
        <f t="shared" ref="L10:L15" si="7">3/4</f>
        <v>0.75</v>
      </c>
      <c r="M10" s="173">
        <f t="shared" ref="M10:M13" si="8">1/2</f>
        <v>0.5</v>
      </c>
      <c r="O10" s="31"/>
      <c r="P10" s="171" t="s">
        <v>19</v>
      </c>
      <c r="Q10" s="172">
        <f t="shared" ref="Q10:Q15" si="9">3/4</f>
        <v>0.75</v>
      </c>
      <c r="R10" s="172">
        <f t="shared" ref="R10:R12" si="10">9/100</f>
        <v>0.09</v>
      </c>
      <c r="S10" s="173">
        <f t="shared" ref="S10:S12" si="11">1/2</f>
        <v>0.5</v>
      </c>
      <c r="U10" s="96"/>
      <c r="V10" s="7"/>
      <c r="W10" s="7"/>
      <c r="X10" s="7"/>
      <c r="Y10" s="7"/>
    </row>
    <row r="11" ht="15.0" customHeight="1">
      <c r="A11" s="174" t="s">
        <v>660</v>
      </c>
      <c r="B11" s="175">
        <f>53/124</f>
        <v>0.4274193548</v>
      </c>
      <c r="C11" s="176">
        <f t="shared" si="5"/>
        <v>0.616</v>
      </c>
      <c r="E11" s="21"/>
      <c r="F11" s="174" t="s">
        <v>661</v>
      </c>
      <c r="G11" s="175">
        <f t="shared" si="6"/>
        <v>0.85</v>
      </c>
      <c r="H11" s="176">
        <f>1/2</f>
        <v>0.5</v>
      </c>
      <c r="J11" s="31"/>
      <c r="K11" s="174" t="s">
        <v>662</v>
      </c>
      <c r="L11" s="175">
        <f t="shared" si="7"/>
        <v>0.75</v>
      </c>
      <c r="M11" s="176">
        <f t="shared" si="8"/>
        <v>0.5</v>
      </c>
      <c r="O11" s="31"/>
      <c r="P11" s="174" t="s">
        <v>663</v>
      </c>
      <c r="Q11" s="175">
        <f t="shared" si="9"/>
        <v>0.75</v>
      </c>
      <c r="R11" s="175">
        <f t="shared" si="10"/>
        <v>0.09</v>
      </c>
      <c r="S11" s="176">
        <f t="shared" si="11"/>
        <v>0.5</v>
      </c>
      <c r="U11" s="96"/>
      <c r="V11" s="7"/>
      <c r="W11" s="7"/>
      <c r="X11" s="7"/>
      <c r="Y11" s="7"/>
    </row>
    <row r="12" ht="15.0" customHeight="1">
      <c r="A12" s="177" t="s">
        <v>664</v>
      </c>
      <c r="B12" s="172">
        <f>53/62</f>
        <v>0.8548387097</v>
      </c>
      <c r="C12" s="173">
        <f t="shared" si="5"/>
        <v>0.616</v>
      </c>
      <c r="E12" s="21"/>
      <c r="F12" s="177" t="s">
        <v>665</v>
      </c>
      <c r="G12" s="172">
        <f t="shared" si="6"/>
        <v>0.85</v>
      </c>
      <c r="H12" s="173">
        <f>3/4</f>
        <v>0.75</v>
      </c>
      <c r="J12" s="31"/>
      <c r="K12" s="177" t="s">
        <v>666</v>
      </c>
      <c r="L12" s="172">
        <f t="shared" si="7"/>
        <v>0.75</v>
      </c>
      <c r="M12" s="173">
        <f t="shared" si="8"/>
        <v>0.5</v>
      </c>
      <c r="O12" s="31"/>
      <c r="P12" s="177" t="s">
        <v>667</v>
      </c>
      <c r="Q12" s="172">
        <f t="shared" si="9"/>
        <v>0.75</v>
      </c>
      <c r="R12" s="172">
        <f t="shared" si="10"/>
        <v>0.09</v>
      </c>
      <c r="S12" s="173">
        <f t="shared" si="11"/>
        <v>0.5</v>
      </c>
      <c r="U12" s="96"/>
      <c r="V12" s="7"/>
      <c r="W12" s="7"/>
      <c r="X12" s="7"/>
      <c r="Y12" s="7"/>
    </row>
    <row r="13" ht="15.0" customHeight="1">
      <c r="A13" s="174" t="s">
        <v>668</v>
      </c>
      <c r="B13" s="175">
        <f>53/124</f>
        <v>0.4274193548</v>
      </c>
      <c r="C13" s="176">
        <f>77/250</f>
        <v>0.308</v>
      </c>
      <c r="E13" s="21"/>
      <c r="F13" s="174" t="s">
        <v>669</v>
      </c>
      <c r="G13" s="175">
        <f t="shared" si="6"/>
        <v>0.85</v>
      </c>
      <c r="H13" s="176">
        <f>7/20</f>
        <v>0.35</v>
      </c>
      <c r="J13" s="31"/>
      <c r="K13" s="174" t="s">
        <v>670</v>
      </c>
      <c r="L13" s="175">
        <f t="shared" si="7"/>
        <v>0.75</v>
      </c>
      <c r="M13" s="176">
        <f t="shared" si="8"/>
        <v>0.5</v>
      </c>
      <c r="O13" s="31"/>
      <c r="P13" s="174" t="s">
        <v>671</v>
      </c>
      <c r="Q13" s="175">
        <f t="shared" si="9"/>
        <v>0.75</v>
      </c>
      <c r="R13" s="175">
        <f>9/50</f>
        <v>0.18</v>
      </c>
      <c r="S13" s="178">
        <v>1.0</v>
      </c>
      <c r="U13" s="96"/>
      <c r="V13" s="7"/>
      <c r="W13" s="7"/>
      <c r="X13" s="7"/>
      <c r="Y13" s="7"/>
    </row>
    <row r="14" ht="15.0" customHeight="1">
      <c r="A14" s="177" t="s">
        <v>672</v>
      </c>
      <c r="B14" s="172">
        <f t="shared" ref="B14:B15" si="12">53/62</f>
        <v>0.8548387097</v>
      </c>
      <c r="C14" s="173">
        <f>77/125</f>
        <v>0.616</v>
      </c>
      <c r="E14" s="21"/>
      <c r="F14" s="177" t="s">
        <v>673</v>
      </c>
      <c r="G14" s="172">
        <f t="shared" si="6"/>
        <v>0.85</v>
      </c>
      <c r="H14" s="173">
        <f t="shared" ref="H14:H15" si="13">3/4</f>
        <v>0.75</v>
      </c>
      <c r="J14" s="31"/>
      <c r="K14" s="177" t="s">
        <v>674</v>
      </c>
      <c r="L14" s="172">
        <f t="shared" si="7"/>
        <v>0.75</v>
      </c>
      <c r="M14" s="173">
        <f>7/20</f>
        <v>0.35</v>
      </c>
      <c r="O14" s="31"/>
      <c r="P14" s="177" t="s">
        <v>675</v>
      </c>
      <c r="Q14" s="172">
        <f t="shared" si="9"/>
        <v>0.75</v>
      </c>
      <c r="R14" s="172">
        <f t="shared" ref="R14:R15" si="14">9/100</f>
        <v>0.09</v>
      </c>
      <c r="S14" s="173">
        <f t="shared" ref="S14:S15" si="15">1/2</f>
        <v>0.5</v>
      </c>
      <c r="U14" s="96"/>
      <c r="V14" s="7"/>
      <c r="W14" s="7"/>
      <c r="X14" s="7"/>
      <c r="Y14" s="7"/>
    </row>
    <row r="15" ht="15.0" customHeight="1">
      <c r="A15" s="174" t="s">
        <v>676</v>
      </c>
      <c r="B15" s="175">
        <f t="shared" si="12"/>
        <v>0.8548387097</v>
      </c>
      <c r="C15" s="179">
        <f>77/250</f>
        <v>0.308</v>
      </c>
      <c r="E15" s="21"/>
      <c r="F15" s="174" t="s">
        <v>677</v>
      </c>
      <c r="G15" s="175">
        <f t="shared" si="6"/>
        <v>0.85</v>
      </c>
      <c r="H15" s="176">
        <f t="shared" si="13"/>
        <v>0.75</v>
      </c>
      <c r="J15" s="31"/>
      <c r="K15" s="174" t="s">
        <v>678</v>
      </c>
      <c r="L15" s="175">
        <f t="shared" si="7"/>
        <v>0.75</v>
      </c>
      <c r="M15" s="176">
        <f>1/2</f>
        <v>0.5</v>
      </c>
      <c r="O15" s="31"/>
      <c r="P15" s="174" t="s">
        <v>679</v>
      </c>
      <c r="Q15" s="175">
        <f t="shared" si="9"/>
        <v>0.75</v>
      </c>
      <c r="R15" s="175">
        <f t="shared" si="14"/>
        <v>0.09</v>
      </c>
      <c r="S15" s="176">
        <f t="shared" si="15"/>
        <v>0.5</v>
      </c>
      <c r="U15" s="96"/>
      <c r="V15" s="7"/>
      <c r="W15" s="7"/>
      <c r="X15" s="7"/>
      <c r="Y15" s="7"/>
    </row>
    <row r="16" ht="15.0" customHeight="1">
      <c r="A16" s="10"/>
      <c r="B16" s="26"/>
      <c r="C16" s="41"/>
      <c r="D16" s="51"/>
      <c r="E16" s="12"/>
      <c r="F16" s="10"/>
      <c r="G16" s="26"/>
      <c r="H16" s="26"/>
      <c r="I16" s="51"/>
      <c r="J16" s="10"/>
      <c r="K16" s="10"/>
      <c r="L16" s="26"/>
      <c r="M16" s="26"/>
      <c r="N16" s="51"/>
      <c r="O16" s="10"/>
      <c r="P16" s="10"/>
      <c r="Q16" s="10"/>
      <c r="R16" s="10"/>
      <c r="S16" s="10"/>
      <c r="T16" s="48"/>
      <c r="U16" s="13"/>
      <c r="V16" s="7"/>
      <c r="W16" s="7"/>
      <c r="X16" s="7"/>
      <c r="Y16" s="7"/>
    </row>
    <row r="17" ht="15.75" customHeight="1">
      <c r="A17" s="28"/>
      <c r="B17" s="29" t="s">
        <v>13</v>
      </c>
      <c r="C17" s="30" t="s">
        <v>680</v>
      </c>
      <c r="D17" s="31"/>
      <c r="E17" s="12"/>
      <c r="F17" s="28"/>
      <c r="G17" s="29" t="s">
        <v>13</v>
      </c>
      <c r="H17" s="30" t="s">
        <v>681</v>
      </c>
      <c r="I17" s="21"/>
      <c r="J17" s="10"/>
      <c r="K17" s="28"/>
      <c r="L17" s="29" t="s">
        <v>13</v>
      </c>
      <c r="M17" s="30" t="s">
        <v>682</v>
      </c>
      <c r="N17" s="21"/>
      <c r="O17" s="10"/>
      <c r="P17" s="10"/>
      <c r="Q17" s="10"/>
      <c r="R17" s="10"/>
      <c r="S17" s="10"/>
      <c r="T17" s="12"/>
      <c r="U17" s="13"/>
      <c r="V17" s="7"/>
      <c r="W17" s="7"/>
      <c r="X17" s="7"/>
      <c r="Y17" s="7"/>
    </row>
    <row r="18" ht="17.25" customHeight="1">
      <c r="A18" s="167" t="s">
        <v>18</v>
      </c>
      <c r="B18" s="169">
        <f>AVERAGE(B19:B24)</f>
        <v>0.6055555556</v>
      </c>
      <c r="D18" s="31"/>
      <c r="E18" s="12"/>
      <c r="F18" s="167" t="s">
        <v>18</v>
      </c>
      <c r="G18" s="169">
        <f>AVERAGE(G19:G24)</f>
        <v>0.25</v>
      </c>
      <c r="I18" s="21"/>
      <c r="J18" s="10"/>
      <c r="K18" s="167" t="s">
        <v>18</v>
      </c>
      <c r="L18" s="169">
        <f>AVERAGE(L19:L24)</f>
        <v>0.1490740741</v>
      </c>
      <c r="N18" s="21"/>
      <c r="O18" s="10"/>
      <c r="P18" s="10"/>
      <c r="Q18" s="10"/>
      <c r="R18" s="10"/>
      <c r="S18" s="10"/>
      <c r="T18" s="12"/>
      <c r="U18" s="13"/>
      <c r="V18" s="7"/>
      <c r="W18" s="7"/>
      <c r="X18" s="7"/>
      <c r="Y18" s="7"/>
    </row>
    <row r="19" ht="15.0" customHeight="1">
      <c r="A19" s="171" t="s">
        <v>19</v>
      </c>
      <c r="B19" s="173">
        <f>2/3</f>
        <v>0.6666666667</v>
      </c>
      <c r="D19" s="31"/>
      <c r="E19" s="12"/>
      <c r="F19" s="171" t="s">
        <v>19</v>
      </c>
      <c r="G19" s="173">
        <f t="shared" ref="G19:G24" si="16">1/4</f>
        <v>0.25</v>
      </c>
      <c r="I19" s="21"/>
      <c r="J19" s="10"/>
      <c r="K19" s="171" t="s">
        <v>19</v>
      </c>
      <c r="L19" s="173">
        <f t="shared" ref="L19:L20" si="17">1/9</f>
        <v>0.1111111111</v>
      </c>
      <c r="N19" s="21"/>
      <c r="O19" s="10"/>
      <c r="P19" s="10"/>
      <c r="Q19" s="10"/>
      <c r="R19" s="10"/>
      <c r="S19" s="10"/>
      <c r="T19" s="12"/>
      <c r="U19" s="13"/>
      <c r="V19" s="7"/>
      <c r="W19" s="7"/>
      <c r="X19" s="7"/>
      <c r="Y19" s="7"/>
    </row>
    <row r="20" ht="15.0" customHeight="1">
      <c r="A20" s="174" t="s">
        <v>683</v>
      </c>
      <c r="B20" s="176">
        <f t="shared" ref="B20:B22" si="18">1/2</f>
        <v>0.5</v>
      </c>
      <c r="D20" s="31"/>
      <c r="E20" s="12"/>
      <c r="F20" s="174" t="s">
        <v>684</v>
      </c>
      <c r="G20" s="176">
        <f t="shared" si="16"/>
        <v>0.25</v>
      </c>
      <c r="I20" s="21"/>
      <c r="J20" s="10"/>
      <c r="K20" s="174" t="s">
        <v>685</v>
      </c>
      <c r="L20" s="176">
        <f t="shared" si="17"/>
        <v>0.1111111111</v>
      </c>
      <c r="N20" s="21"/>
      <c r="O20" s="10"/>
      <c r="P20" s="10"/>
      <c r="Q20" s="10"/>
      <c r="R20" s="10"/>
      <c r="S20" s="10"/>
      <c r="T20" s="12"/>
      <c r="U20" s="13"/>
      <c r="V20" s="7"/>
      <c r="W20" s="7"/>
      <c r="X20" s="7"/>
      <c r="Y20" s="7"/>
    </row>
    <row r="21" ht="15.0" customHeight="1">
      <c r="A21" s="177" t="s">
        <v>686</v>
      </c>
      <c r="B21" s="173">
        <f t="shared" si="18"/>
        <v>0.5</v>
      </c>
      <c r="D21" s="31"/>
      <c r="E21" s="12"/>
      <c r="F21" s="177" t="s">
        <v>687</v>
      </c>
      <c r="G21" s="173">
        <f t="shared" si="16"/>
        <v>0.25</v>
      </c>
      <c r="I21" s="21"/>
      <c r="J21" s="10"/>
      <c r="K21" s="177" t="s">
        <v>688</v>
      </c>
      <c r="L21" s="173">
        <f>1/4</f>
        <v>0.25</v>
      </c>
      <c r="N21" s="21"/>
      <c r="O21" s="10"/>
      <c r="P21" s="10"/>
      <c r="Q21" s="10"/>
      <c r="R21" s="10"/>
      <c r="S21" s="10"/>
      <c r="T21" s="12"/>
      <c r="U21" s="13"/>
      <c r="V21" s="7"/>
      <c r="W21" s="7"/>
      <c r="X21" s="7"/>
      <c r="Y21" s="7"/>
    </row>
    <row r="22" ht="15.0" customHeight="1">
      <c r="A22" s="174" t="s">
        <v>689</v>
      </c>
      <c r="B22" s="176">
        <f t="shared" si="18"/>
        <v>0.5</v>
      </c>
      <c r="D22" s="31"/>
      <c r="E22" s="12"/>
      <c r="F22" s="174" t="s">
        <v>483</v>
      </c>
      <c r="G22" s="176">
        <f t="shared" si="16"/>
        <v>0.25</v>
      </c>
      <c r="I22" s="21"/>
      <c r="J22" s="10"/>
      <c r="K22" s="174" t="s">
        <v>690</v>
      </c>
      <c r="L22" s="176">
        <f t="shared" ref="L22:L23" si="19">1/9</f>
        <v>0.1111111111</v>
      </c>
      <c r="N22" s="21"/>
      <c r="O22" s="10"/>
      <c r="P22" s="10"/>
      <c r="Q22" s="10"/>
      <c r="R22" s="10"/>
      <c r="S22" s="10"/>
      <c r="T22" s="12"/>
      <c r="U22" s="13"/>
      <c r="V22" s="7"/>
      <c r="W22" s="7"/>
      <c r="X22" s="7"/>
      <c r="Y22" s="7"/>
    </row>
    <row r="23" ht="15.0" customHeight="1">
      <c r="A23" s="177" t="s">
        <v>691</v>
      </c>
      <c r="B23" s="173">
        <f>2/3</f>
        <v>0.6666666667</v>
      </c>
      <c r="D23" s="31"/>
      <c r="E23" s="12"/>
      <c r="F23" s="177" t="s">
        <v>692</v>
      </c>
      <c r="G23" s="173">
        <f t="shared" si="16"/>
        <v>0.25</v>
      </c>
      <c r="I23" s="21"/>
      <c r="J23" s="10"/>
      <c r="K23" s="177" t="s">
        <v>693</v>
      </c>
      <c r="L23" s="173">
        <f t="shared" si="19"/>
        <v>0.1111111111</v>
      </c>
      <c r="N23" s="21"/>
      <c r="O23" s="10"/>
      <c r="P23" s="10"/>
      <c r="Q23" s="10"/>
      <c r="R23" s="10"/>
      <c r="S23" s="10"/>
      <c r="T23" s="12"/>
      <c r="U23" s="13"/>
      <c r="V23" s="7"/>
      <c r="W23" s="7"/>
      <c r="X23" s="7"/>
      <c r="Y23" s="7"/>
    </row>
    <row r="24" ht="15.0" customHeight="1">
      <c r="A24" s="174" t="s">
        <v>694</v>
      </c>
      <c r="B24" s="176">
        <f>4/5</f>
        <v>0.8</v>
      </c>
      <c r="D24" s="31"/>
      <c r="E24" s="12"/>
      <c r="F24" s="174" t="s">
        <v>695</v>
      </c>
      <c r="G24" s="176">
        <f t="shared" si="16"/>
        <v>0.25</v>
      </c>
      <c r="I24" s="21"/>
      <c r="J24" s="10"/>
      <c r="K24" s="174" t="s">
        <v>696</v>
      </c>
      <c r="L24" s="176">
        <f>1/5</f>
        <v>0.2</v>
      </c>
      <c r="N24" s="21"/>
      <c r="O24" s="10"/>
      <c r="P24" s="10"/>
      <c r="Q24" s="10"/>
      <c r="R24" s="10"/>
      <c r="S24" s="10"/>
      <c r="T24" s="12"/>
      <c r="U24" s="13"/>
      <c r="V24" s="7"/>
      <c r="W24" s="7"/>
      <c r="X24" s="7"/>
      <c r="Y24" s="7"/>
    </row>
    <row r="25" ht="15.0" customHeight="1">
      <c r="A25" s="10"/>
      <c r="B25" s="26"/>
      <c r="C25" s="41"/>
      <c r="D25" s="10"/>
      <c r="E25" s="12"/>
      <c r="F25" s="10"/>
      <c r="G25" s="26"/>
      <c r="H25" s="41"/>
      <c r="I25" s="10"/>
      <c r="J25" s="10"/>
      <c r="K25" s="10"/>
      <c r="L25" s="26"/>
      <c r="M25" s="41"/>
      <c r="N25" s="10"/>
      <c r="O25" s="10"/>
      <c r="P25" s="10"/>
      <c r="Q25" s="26"/>
      <c r="R25" s="26"/>
      <c r="S25" s="10"/>
      <c r="T25" s="12"/>
      <c r="U25" s="13"/>
      <c r="V25" s="7"/>
      <c r="W25" s="7"/>
      <c r="X25" s="7"/>
      <c r="Y25" s="7"/>
    </row>
    <row r="26" ht="15.75" customHeight="1">
      <c r="A26" s="28"/>
      <c r="B26" s="29" t="s">
        <v>13</v>
      </c>
      <c r="C26" s="30" t="s">
        <v>697</v>
      </c>
      <c r="D26" s="31"/>
      <c r="E26" s="12"/>
      <c r="F26" s="28"/>
      <c r="G26" s="29" t="s">
        <v>13</v>
      </c>
      <c r="H26" s="30" t="s">
        <v>698</v>
      </c>
      <c r="I26" s="21"/>
      <c r="J26" s="10"/>
      <c r="K26" s="28"/>
      <c r="L26" s="29" t="s">
        <v>13</v>
      </c>
      <c r="M26" s="30" t="s">
        <v>699</v>
      </c>
      <c r="N26" s="21"/>
      <c r="O26" s="10"/>
      <c r="P26" s="28"/>
      <c r="Q26" s="29" t="s">
        <v>13</v>
      </c>
      <c r="R26" s="43" t="s">
        <v>700</v>
      </c>
      <c r="S26" s="180"/>
      <c r="T26" s="181"/>
      <c r="U26" s="13"/>
      <c r="V26" s="7"/>
      <c r="W26" s="7"/>
      <c r="X26" s="7"/>
      <c r="Y26" s="7"/>
    </row>
    <row r="27" ht="17.25" customHeight="1">
      <c r="A27" s="167" t="s">
        <v>18</v>
      </c>
      <c r="B27" s="169">
        <f>AVERAGE(B28:B33)</f>
        <v>0</v>
      </c>
      <c r="D27" s="31"/>
      <c r="E27" s="12"/>
      <c r="F27" s="167" t="s">
        <v>18</v>
      </c>
      <c r="G27" s="169">
        <f>AVERAGE(G28:G33)</f>
        <v>0</v>
      </c>
      <c r="I27" s="21"/>
      <c r="J27" s="10"/>
      <c r="K27" s="167" t="s">
        <v>18</v>
      </c>
      <c r="L27" s="169">
        <f>AVERAGE(L28:L33)</f>
        <v>0.0025</v>
      </c>
      <c r="N27" s="21"/>
      <c r="O27" s="10"/>
      <c r="P27" s="167" t="s">
        <v>18</v>
      </c>
      <c r="Q27" s="169">
        <f>AVERAGE(Q28:Q33)</f>
        <v>0</v>
      </c>
      <c r="S27" s="182"/>
      <c r="T27" s="181"/>
      <c r="U27" s="13"/>
      <c r="V27" s="7"/>
      <c r="W27" s="7"/>
      <c r="X27" s="7"/>
      <c r="Y27" s="7"/>
    </row>
    <row r="28" ht="15.0" customHeight="1">
      <c r="A28" s="171" t="s">
        <v>19</v>
      </c>
      <c r="B28" s="183">
        <v>0.0</v>
      </c>
      <c r="D28" s="184"/>
      <c r="E28" s="12"/>
      <c r="F28" s="171" t="s">
        <v>19</v>
      </c>
      <c r="G28" s="183">
        <v>0.0</v>
      </c>
      <c r="I28" s="21"/>
      <c r="J28" s="10"/>
      <c r="K28" s="171" t="s">
        <v>19</v>
      </c>
      <c r="L28" s="183">
        <v>0.0</v>
      </c>
      <c r="N28" s="21"/>
      <c r="O28" s="10"/>
      <c r="P28" s="171" t="s">
        <v>19</v>
      </c>
      <c r="Q28" s="183">
        <v>0.0</v>
      </c>
      <c r="S28" s="185"/>
      <c r="T28" s="181"/>
      <c r="U28" s="13"/>
      <c r="V28" s="7"/>
      <c r="W28" s="7"/>
      <c r="X28" s="7"/>
      <c r="Y28" s="7"/>
    </row>
    <row r="29" ht="15.0" customHeight="1">
      <c r="A29" s="174" t="s">
        <v>701</v>
      </c>
      <c r="B29" s="178">
        <v>0.0</v>
      </c>
      <c r="D29" s="31"/>
      <c r="E29" s="12"/>
      <c r="F29" s="174" t="s">
        <v>702</v>
      </c>
      <c r="G29" s="178">
        <v>0.0</v>
      </c>
      <c r="I29" s="21"/>
      <c r="J29" s="10"/>
      <c r="K29" s="174" t="s">
        <v>703</v>
      </c>
      <c r="L29" s="178">
        <v>0.0</v>
      </c>
      <c r="N29" s="21"/>
      <c r="O29" s="10"/>
      <c r="P29" s="174" t="s">
        <v>704</v>
      </c>
      <c r="Q29" s="178">
        <v>0.0</v>
      </c>
      <c r="S29" s="186"/>
      <c r="T29" s="181"/>
      <c r="U29" s="13"/>
      <c r="V29" s="7"/>
      <c r="W29" s="7"/>
      <c r="X29" s="7"/>
      <c r="Y29" s="7"/>
    </row>
    <row r="30" ht="15.0" customHeight="1">
      <c r="A30" s="177" t="s">
        <v>705</v>
      </c>
      <c r="B30" s="183">
        <v>0.0</v>
      </c>
      <c r="D30" s="31"/>
      <c r="E30" s="12"/>
      <c r="F30" s="177" t="s">
        <v>706</v>
      </c>
      <c r="G30" s="183">
        <v>0.0</v>
      </c>
      <c r="I30" s="21"/>
      <c r="J30" s="10"/>
      <c r="K30" s="177" t="s">
        <v>707</v>
      </c>
      <c r="L30" s="173">
        <f>3/200</f>
        <v>0.015</v>
      </c>
      <c r="N30" s="21"/>
      <c r="O30" s="10"/>
      <c r="P30" s="177" t="s">
        <v>708</v>
      </c>
      <c r="Q30" s="183">
        <v>0.0</v>
      </c>
      <c r="S30" s="185"/>
      <c r="T30" s="181"/>
      <c r="U30" s="13"/>
      <c r="V30" s="7"/>
      <c r="W30" s="7"/>
      <c r="X30" s="7"/>
      <c r="Y30" s="7"/>
    </row>
    <row r="31" ht="15.0" customHeight="1">
      <c r="A31" s="174" t="s">
        <v>709</v>
      </c>
      <c r="B31" s="178">
        <v>0.0</v>
      </c>
      <c r="D31" s="31"/>
      <c r="E31" s="12"/>
      <c r="F31" s="174" t="s">
        <v>710</v>
      </c>
      <c r="G31" s="178">
        <v>0.0</v>
      </c>
      <c r="I31" s="21"/>
      <c r="J31" s="10"/>
      <c r="K31" s="174" t="s">
        <v>711</v>
      </c>
      <c r="L31" s="178">
        <v>0.0</v>
      </c>
      <c r="N31" s="21"/>
      <c r="O31" s="10"/>
      <c r="P31" s="174" t="s">
        <v>712</v>
      </c>
      <c r="Q31" s="178">
        <v>0.0</v>
      </c>
      <c r="S31" s="186"/>
      <c r="T31" s="181"/>
      <c r="U31" s="13"/>
      <c r="V31" s="7"/>
      <c r="W31" s="7"/>
      <c r="X31" s="7"/>
      <c r="Y31" s="7"/>
    </row>
    <row r="32" ht="15.0" customHeight="1">
      <c r="A32" s="177" t="s">
        <v>713</v>
      </c>
      <c r="B32" s="183">
        <v>0.0</v>
      </c>
      <c r="D32" s="31"/>
      <c r="E32" s="12"/>
      <c r="F32" s="177" t="s">
        <v>714</v>
      </c>
      <c r="G32" s="183">
        <v>0.0</v>
      </c>
      <c r="I32" s="21"/>
      <c r="J32" s="10"/>
      <c r="K32" s="177" t="s">
        <v>715</v>
      </c>
      <c r="L32" s="183">
        <v>0.0</v>
      </c>
      <c r="N32" s="21"/>
      <c r="O32" s="10"/>
      <c r="P32" s="177" t="s">
        <v>716</v>
      </c>
      <c r="Q32" s="183">
        <v>0.0</v>
      </c>
      <c r="S32" s="185"/>
      <c r="T32" s="181"/>
      <c r="U32" s="13"/>
      <c r="V32" s="7"/>
      <c r="W32" s="7"/>
      <c r="X32" s="7"/>
      <c r="Y32" s="7"/>
    </row>
    <row r="33" ht="15.0" customHeight="1">
      <c r="A33" s="174" t="s">
        <v>717</v>
      </c>
      <c r="B33" s="178">
        <v>0.0</v>
      </c>
      <c r="D33" s="31"/>
      <c r="E33" s="12"/>
      <c r="F33" s="174" t="s">
        <v>718</v>
      </c>
      <c r="G33" s="178">
        <v>0.0</v>
      </c>
      <c r="I33" s="21"/>
      <c r="J33" s="10"/>
      <c r="K33" s="174" t="s">
        <v>719</v>
      </c>
      <c r="L33" s="178">
        <v>0.0</v>
      </c>
      <c r="N33" s="21"/>
      <c r="O33" s="10"/>
      <c r="P33" s="174" t="s">
        <v>720</v>
      </c>
      <c r="Q33" s="178">
        <v>0.0</v>
      </c>
      <c r="S33" s="186"/>
      <c r="T33" s="181"/>
      <c r="U33" s="13"/>
      <c r="V33" s="7"/>
      <c r="W33" s="7"/>
      <c r="X33" s="7"/>
      <c r="Y33" s="7"/>
    </row>
    <row r="34" ht="15.0" customHeight="1">
      <c r="A34" s="10"/>
      <c r="B34" s="26"/>
      <c r="C34" s="41"/>
      <c r="D34" s="10"/>
      <c r="E34" s="12"/>
      <c r="F34" s="10"/>
      <c r="G34" s="26"/>
      <c r="H34" s="41"/>
      <c r="I34" s="10"/>
      <c r="J34" s="10"/>
      <c r="K34" s="10"/>
      <c r="L34" s="26"/>
      <c r="M34" s="41"/>
      <c r="N34" s="10"/>
      <c r="O34" s="10"/>
      <c r="P34" s="10"/>
      <c r="Q34" s="10"/>
      <c r="R34" s="51"/>
      <c r="S34" s="10"/>
      <c r="T34" s="12"/>
      <c r="U34" s="13"/>
      <c r="V34" s="7"/>
      <c r="W34" s="7"/>
      <c r="X34" s="7"/>
      <c r="Y34" s="7"/>
    </row>
    <row r="35" ht="15.75" customHeight="1">
      <c r="A35" s="28"/>
      <c r="B35" s="29" t="s">
        <v>13</v>
      </c>
      <c r="C35" s="30" t="s">
        <v>721</v>
      </c>
      <c r="D35" s="31"/>
      <c r="E35" s="12"/>
      <c r="F35" s="28"/>
      <c r="G35" s="29" t="s">
        <v>13</v>
      </c>
      <c r="H35" s="30" t="s">
        <v>722</v>
      </c>
      <c r="I35" s="21"/>
      <c r="J35" s="10"/>
      <c r="K35" s="28"/>
      <c r="L35" s="29" t="s">
        <v>13</v>
      </c>
      <c r="M35" s="30" t="s">
        <v>723</v>
      </c>
      <c r="N35" s="21"/>
      <c r="O35" s="10"/>
      <c r="P35" s="10"/>
      <c r="Q35" s="10"/>
      <c r="R35" s="10"/>
      <c r="S35" s="10"/>
      <c r="T35" s="12"/>
      <c r="U35" s="13"/>
      <c r="V35" s="7"/>
      <c r="W35" s="7"/>
      <c r="X35" s="7"/>
      <c r="Y35" s="7"/>
    </row>
    <row r="36" ht="17.25" customHeight="1">
      <c r="A36" s="167" t="s">
        <v>18</v>
      </c>
      <c r="B36" s="169">
        <f>AVERAGE(B37:B42)</f>
        <v>0.2</v>
      </c>
      <c r="D36" s="31"/>
      <c r="E36" s="12"/>
      <c r="F36" s="167" t="s">
        <v>18</v>
      </c>
      <c r="G36" s="169">
        <f>AVERAGE(G37:G42)</f>
        <v>1</v>
      </c>
      <c r="I36" s="21"/>
      <c r="J36" s="10"/>
      <c r="K36" s="167" t="s">
        <v>18</v>
      </c>
      <c r="L36" s="169">
        <f>AVERAGE(L37:L42)</f>
        <v>0</v>
      </c>
      <c r="N36" s="21"/>
      <c r="O36" s="10"/>
      <c r="P36" s="10"/>
      <c r="Q36" s="10"/>
      <c r="R36" s="10"/>
      <c r="S36" s="10"/>
      <c r="T36" s="12"/>
      <c r="U36" s="13"/>
      <c r="V36" s="7"/>
      <c r="W36" s="7"/>
      <c r="X36" s="7"/>
      <c r="Y36" s="7"/>
    </row>
    <row r="37" ht="15.0" customHeight="1">
      <c r="A37" s="171" t="s">
        <v>19</v>
      </c>
      <c r="B37" s="173">
        <f t="shared" ref="B37:B42" si="20">1/5</f>
        <v>0.2</v>
      </c>
      <c r="D37" s="31"/>
      <c r="E37" s="12"/>
      <c r="F37" s="171" t="s">
        <v>19</v>
      </c>
      <c r="G37" s="183">
        <v>1.0</v>
      </c>
      <c r="I37" s="21"/>
      <c r="J37" s="10"/>
      <c r="K37" s="171" t="s">
        <v>19</v>
      </c>
      <c r="L37" s="183">
        <v>0.0</v>
      </c>
      <c r="N37" s="21"/>
      <c r="O37" s="10"/>
      <c r="P37" s="10"/>
      <c r="Q37" s="10"/>
      <c r="R37" s="10"/>
      <c r="S37" s="10"/>
      <c r="T37" s="12"/>
      <c r="U37" s="13"/>
      <c r="V37" s="7"/>
      <c r="W37" s="7"/>
      <c r="X37" s="7"/>
      <c r="Y37" s="7"/>
    </row>
    <row r="38" ht="15.0" customHeight="1">
      <c r="A38" s="174" t="s">
        <v>724</v>
      </c>
      <c r="B38" s="176">
        <f t="shared" si="20"/>
        <v>0.2</v>
      </c>
      <c r="D38" s="31"/>
      <c r="E38" s="12"/>
      <c r="F38" s="174" t="s">
        <v>725</v>
      </c>
      <c r="G38" s="178">
        <v>1.0</v>
      </c>
      <c r="I38" s="21"/>
      <c r="J38" s="10"/>
      <c r="K38" s="174" t="s">
        <v>726</v>
      </c>
      <c r="L38" s="178">
        <v>0.0</v>
      </c>
      <c r="N38" s="21"/>
      <c r="O38" s="10"/>
      <c r="P38" s="10"/>
      <c r="Q38" s="10"/>
      <c r="R38" s="10"/>
      <c r="S38" s="10"/>
      <c r="T38" s="12"/>
      <c r="U38" s="13"/>
      <c r="V38" s="7"/>
      <c r="W38" s="7"/>
      <c r="X38" s="7"/>
      <c r="Y38" s="7"/>
    </row>
    <row r="39" ht="15.0" customHeight="1">
      <c r="A39" s="177" t="s">
        <v>727</v>
      </c>
      <c r="B39" s="173">
        <f t="shared" si="20"/>
        <v>0.2</v>
      </c>
      <c r="D39" s="31"/>
      <c r="E39" s="12"/>
      <c r="F39" s="177" t="s">
        <v>728</v>
      </c>
      <c r="G39" s="183">
        <v>1.0</v>
      </c>
      <c r="I39" s="21"/>
      <c r="J39" s="10"/>
      <c r="K39" s="177" t="s">
        <v>729</v>
      </c>
      <c r="L39" s="183">
        <v>0.0</v>
      </c>
      <c r="N39" s="21"/>
      <c r="O39" s="10"/>
      <c r="P39" s="10"/>
      <c r="Q39" s="10"/>
      <c r="R39" s="10"/>
      <c r="S39" s="10"/>
      <c r="T39" s="12"/>
      <c r="U39" s="13"/>
      <c r="V39" s="7"/>
      <c r="W39" s="7"/>
      <c r="X39" s="7"/>
      <c r="Y39" s="7"/>
    </row>
    <row r="40" ht="15.0" customHeight="1">
      <c r="A40" s="174" t="s">
        <v>730</v>
      </c>
      <c r="B40" s="176">
        <f t="shared" si="20"/>
        <v>0.2</v>
      </c>
      <c r="D40" s="31"/>
      <c r="E40" s="12"/>
      <c r="F40" s="174" t="s">
        <v>731</v>
      </c>
      <c r="G40" s="178">
        <v>1.0</v>
      </c>
      <c r="I40" s="21"/>
      <c r="J40" s="10"/>
      <c r="K40" s="174" t="s">
        <v>732</v>
      </c>
      <c r="L40" s="178">
        <v>0.0</v>
      </c>
      <c r="N40" s="21"/>
      <c r="O40" s="10"/>
      <c r="P40" s="10"/>
      <c r="Q40" s="10"/>
      <c r="R40" s="10"/>
      <c r="S40" s="10"/>
      <c r="T40" s="12"/>
      <c r="U40" s="13"/>
      <c r="V40" s="7"/>
      <c r="W40" s="7"/>
      <c r="X40" s="7"/>
      <c r="Y40" s="7"/>
    </row>
    <row r="41" ht="15.0" customHeight="1">
      <c r="A41" s="177" t="s">
        <v>733</v>
      </c>
      <c r="B41" s="173">
        <f t="shared" si="20"/>
        <v>0.2</v>
      </c>
      <c r="D41" s="31"/>
      <c r="E41" s="12"/>
      <c r="F41" s="177" t="s">
        <v>734</v>
      </c>
      <c r="G41" s="183">
        <v>1.0</v>
      </c>
      <c r="I41" s="21"/>
      <c r="J41" s="10"/>
      <c r="K41" s="177" t="s">
        <v>735</v>
      </c>
      <c r="L41" s="183">
        <v>0.0</v>
      </c>
      <c r="N41" s="21"/>
      <c r="O41" s="10"/>
      <c r="P41" s="10"/>
      <c r="Q41" s="10"/>
      <c r="R41" s="10"/>
      <c r="S41" s="10"/>
      <c r="T41" s="12"/>
      <c r="U41" s="13"/>
      <c r="V41" s="7"/>
      <c r="W41" s="7"/>
      <c r="X41" s="7"/>
      <c r="Y41" s="7"/>
    </row>
    <row r="42" ht="15.0" customHeight="1">
      <c r="A42" s="174" t="s">
        <v>736</v>
      </c>
      <c r="B42" s="176">
        <f t="shared" si="20"/>
        <v>0.2</v>
      </c>
      <c r="D42" s="31"/>
      <c r="E42" s="12"/>
      <c r="F42" s="174" t="s">
        <v>737</v>
      </c>
      <c r="G42" s="178">
        <v>1.0</v>
      </c>
      <c r="I42" s="21"/>
      <c r="J42" s="10"/>
      <c r="K42" s="174" t="s">
        <v>738</v>
      </c>
      <c r="L42" s="178">
        <v>0.0</v>
      </c>
      <c r="N42" s="21"/>
      <c r="O42" s="10"/>
      <c r="P42" s="10"/>
      <c r="Q42" s="10"/>
      <c r="R42" s="10"/>
      <c r="S42" s="10"/>
      <c r="T42" s="12"/>
      <c r="U42" s="13"/>
      <c r="V42" s="7"/>
      <c r="W42" s="7"/>
      <c r="X42" s="7"/>
      <c r="Y42" s="7"/>
    </row>
    <row r="43" ht="15.0" customHeight="1">
      <c r="A43" s="10"/>
      <c r="B43" s="26"/>
      <c r="C43" s="41"/>
      <c r="D43" s="10"/>
      <c r="E43" s="12"/>
      <c r="F43" s="10"/>
      <c r="G43" s="26"/>
      <c r="H43" s="41"/>
      <c r="I43" s="10"/>
      <c r="J43" s="10"/>
      <c r="K43" s="10"/>
      <c r="L43" s="26"/>
      <c r="M43" s="41"/>
      <c r="N43" s="187"/>
      <c r="O43" s="10"/>
      <c r="P43" s="10"/>
      <c r="Q43" s="26"/>
      <c r="R43" s="26"/>
      <c r="S43" s="10"/>
      <c r="T43" s="12"/>
      <c r="U43" s="13"/>
      <c r="V43" s="7"/>
      <c r="W43" s="7"/>
      <c r="X43" s="7"/>
      <c r="Y43" s="7"/>
    </row>
    <row r="44" ht="15.75" customHeight="1">
      <c r="A44" s="28"/>
      <c r="B44" s="188" t="s">
        <v>13</v>
      </c>
      <c r="C44" s="30" t="s">
        <v>739</v>
      </c>
      <c r="D44" s="31"/>
      <c r="E44" s="12"/>
      <c r="F44" s="28"/>
      <c r="G44" s="29" t="s">
        <v>13</v>
      </c>
      <c r="H44" s="30" t="s">
        <v>740</v>
      </c>
      <c r="I44" s="21"/>
      <c r="J44" s="10"/>
      <c r="K44" s="28"/>
      <c r="L44" s="29" t="s">
        <v>13</v>
      </c>
      <c r="M44" s="30" t="s">
        <v>741</v>
      </c>
      <c r="N44" s="21"/>
      <c r="O44" s="10"/>
      <c r="P44" s="28"/>
      <c r="Q44" s="29" t="s">
        <v>13</v>
      </c>
      <c r="R44" s="30" t="s">
        <v>742</v>
      </c>
      <c r="S44" s="31"/>
      <c r="T44" s="12"/>
      <c r="U44" s="13"/>
      <c r="V44" s="7"/>
      <c r="W44" s="7"/>
      <c r="X44" s="7"/>
      <c r="Y44" s="7"/>
    </row>
    <row r="45" ht="17.25" customHeight="1">
      <c r="A45" s="167" t="s">
        <v>18</v>
      </c>
      <c r="B45" s="170">
        <f>AVERAGE(B46:B51)</f>
        <v>0.125</v>
      </c>
      <c r="D45" s="31"/>
      <c r="E45" s="12"/>
      <c r="F45" s="167" t="s">
        <v>18</v>
      </c>
      <c r="G45" s="169">
        <f>AVERAGE(G46:G51)</f>
        <v>0.1497584541</v>
      </c>
      <c r="I45" s="21"/>
      <c r="J45" s="10"/>
      <c r="K45" s="167" t="s">
        <v>18</v>
      </c>
      <c r="L45" s="169">
        <f>AVERAGE(L46:L51)</f>
        <v>0</v>
      </c>
      <c r="N45" s="21"/>
      <c r="O45" s="10"/>
      <c r="P45" s="167" t="s">
        <v>18</v>
      </c>
      <c r="Q45" s="169">
        <f>AVERAGE(Q46:Q51)</f>
        <v>0</v>
      </c>
      <c r="S45" s="31"/>
      <c r="T45" s="12"/>
      <c r="U45" s="13"/>
      <c r="V45" s="7"/>
      <c r="W45" s="7"/>
      <c r="X45" s="7"/>
      <c r="Y45" s="7"/>
    </row>
    <row r="46" ht="15.0" customHeight="1">
      <c r="A46" s="171" t="s">
        <v>19</v>
      </c>
      <c r="B46" s="173">
        <f t="shared" ref="B46:B51" si="21">1/8</f>
        <v>0.125</v>
      </c>
      <c r="D46" s="31"/>
      <c r="E46" s="12"/>
      <c r="F46" s="171" t="s">
        <v>19</v>
      </c>
      <c r="G46" s="173">
        <f t="shared" ref="G46:G47" si="22">4/23</f>
        <v>0.1739130435</v>
      </c>
      <c r="I46" s="21"/>
      <c r="J46" s="10"/>
      <c r="K46" s="171" t="s">
        <v>19</v>
      </c>
      <c r="L46" s="183">
        <v>0.0</v>
      </c>
      <c r="N46" s="21"/>
      <c r="O46" s="10"/>
      <c r="P46" s="171" t="s">
        <v>19</v>
      </c>
      <c r="Q46" s="183">
        <v>0.0</v>
      </c>
      <c r="S46" s="31"/>
      <c r="T46" s="12"/>
      <c r="U46" s="13"/>
      <c r="V46" s="7"/>
      <c r="W46" s="7"/>
      <c r="X46" s="7"/>
      <c r="Y46" s="7"/>
    </row>
    <row r="47" ht="15.0" customHeight="1">
      <c r="A47" s="174" t="s">
        <v>743</v>
      </c>
      <c r="B47" s="176">
        <f t="shared" si="21"/>
        <v>0.125</v>
      </c>
      <c r="D47" s="31"/>
      <c r="E47" s="12"/>
      <c r="F47" s="174" t="s">
        <v>744</v>
      </c>
      <c r="G47" s="176">
        <f t="shared" si="22"/>
        <v>0.1739130435</v>
      </c>
      <c r="I47" s="21"/>
      <c r="J47" s="10"/>
      <c r="K47" s="174" t="s">
        <v>745</v>
      </c>
      <c r="L47" s="178">
        <v>0.0</v>
      </c>
      <c r="N47" s="21"/>
      <c r="O47" s="10"/>
      <c r="P47" s="174" t="s">
        <v>746</v>
      </c>
      <c r="Q47" s="178">
        <v>0.0</v>
      </c>
      <c r="S47" s="31"/>
      <c r="T47" s="181"/>
      <c r="U47" s="13"/>
      <c r="V47" s="7"/>
      <c r="W47" s="7"/>
      <c r="X47" s="7"/>
      <c r="Y47" s="7"/>
    </row>
    <row r="48" ht="15.0" customHeight="1">
      <c r="A48" s="177" t="s">
        <v>747</v>
      </c>
      <c r="B48" s="173">
        <f t="shared" si="21"/>
        <v>0.125</v>
      </c>
      <c r="D48" s="31"/>
      <c r="E48" s="12"/>
      <c r="F48" s="177" t="s">
        <v>748</v>
      </c>
      <c r="G48" s="173">
        <f>2/23</f>
        <v>0.08695652174</v>
      </c>
      <c r="I48" s="21"/>
      <c r="J48" s="10"/>
      <c r="K48" s="177" t="s">
        <v>749</v>
      </c>
      <c r="L48" s="183">
        <v>0.0</v>
      </c>
      <c r="N48" s="21"/>
      <c r="O48" s="10"/>
      <c r="P48" s="177" t="s">
        <v>750</v>
      </c>
      <c r="Q48" s="183">
        <v>0.0</v>
      </c>
      <c r="S48" s="31"/>
      <c r="T48" s="181"/>
      <c r="U48" s="13"/>
      <c r="V48" s="7"/>
      <c r="W48" s="7"/>
      <c r="X48" s="7"/>
      <c r="Y48" s="7"/>
    </row>
    <row r="49" ht="15.0" customHeight="1">
      <c r="A49" s="174" t="s">
        <v>751</v>
      </c>
      <c r="B49" s="176">
        <f t="shared" si="21"/>
        <v>0.125</v>
      </c>
      <c r="D49" s="31"/>
      <c r="E49" s="12"/>
      <c r="F49" s="174" t="s">
        <v>752</v>
      </c>
      <c r="G49" s="176">
        <f t="shared" ref="G49:G50" si="23">4/23</f>
        <v>0.1739130435</v>
      </c>
      <c r="I49" s="21"/>
      <c r="J49" s="10"/>
      <c r="K49" s="174" t="s">
        <v>753</v>
      </c>
      <c r="L49" s="178">
        <v>0.0</v>
      </c>
      <c r="N49" s="21"/>
      <c r="O49" s="10"/>
      <c r="P49" s="174" t="s">
        <v>754</v>
      </c>
      <c r="Q49" s="178">
        <v>0.0</v>
      </c>
      <c r="S49" s="31"/>
      <c r="T49" s="181"/>
      <c r="U49" s="13"/>
      <c r="V49" s="7"/>
      <c r="W49" s="7"/>
      <c r="X49" s="7"/>
      <c r="Y49" s="7"/>
    </row>
    <row r="50" ht="15.0" customHeight="1">
      <c r="A50" s="177" t="s">
        <v>755</v>
      </c>
      <c r="B50" s="173">
        <f t="shared" si="21"/>
        <v>0.125</v>
      </c>
      <c r="D50" s="31"/>
      <c r="E50" s="12"/>
      <c r="F50" s="177" t="s">
        <v>756</v>
      </c>
      <c r="G50" s="173">
        <f t="shared" si="23"/>
        <v>0.1739130435</v>
      </c>
      <c r="I50" s="21"/>
      <c r="J50" s="10"/>
      <c r="K50" s="177" t="s">
        <v>757</v>
      </c>
      <c r="L50" s="183">
        <v>0.0</v>
      </c>
      <c r="N50" s="21"/>
      <c r="O50" s="10"/>
      <c r="P50" s="177" t="s">
        <v>758</v>
      </c>
      <c r="Q50" s="183">
        <v>0.0</v>
      </c>
      <c r="S50" s="31"/>
      <c r="T50" s="181"/>
      <c r="U50" s="13"/>
      <c r="V50" s="7"/>
      <c r="W50" s="7"/>
      <c r="X50" s="7"/>
      <c r="Y50" s="7"/>
    </row>
    <row r="51" ht="15.0" customHeight="1">
      <c r="A51" s="174" t="s">
        <v>759</v>
      </c>
      <c r="B51" s="176">
        <f t="shared" si="21"/>
        <v>0.125</v>
      </c>
      <c r="D51" s="31"/>
      <c r="E51" s="12"/>
      <c r="F51" s="174" t="s">
        <v>760</v>
      </c>
      <c r="G51" s="176">
        <f>8/69</f>
        <v>0.115942029</v>
      </c>
      <c r="I51" s="21"/>
      <c r="J51" s="10"/>
      <c r="K51" s="174" t="s">
        <v>761</v>
      </c>
      <c r="L51" s="178">
        <v>0.0</v>
      </c>
      <c r="N51" s="21"/>
      <c r="O51" s="10"/>
      <c r="P51" s="174" t="s">
        <v>762</v>
      </c>
      <c r="Q51" s="178">
        <v>0.0</v>
      </c>
      <c r="S51" s="31"/>
      <c r="T51" s="181"/>
      <c r="U51" s="13"/>
      <c r="V51" s="7"/>
      <c r="W51" s="7"/>
      <c r="X51" s="7"/>
      <c r="Y51" s="7"/>
    </row>
    <row r="52" ht="15.0" customHeight="1">
      <c r="A52" s="10"/>
      <c r="B52" s="26"/>
      <c r="C52" s="41"/>
      <c r="D52" s="10"/>
      <c r="E52" s="12"/>
      <c r="F52" s="10"/>
      <c r="G52" s="26"/>
      <c r="H52" s="41"/>
      <c r="I52" s="10"/>
      <c r="J52" s="10"/>
      <c r="K52" s="10"/>
      <c r="L52" s="26"/>
      <c r="M52" s="41"/>
      <c r="N52" s="187"/>
      <c r="O52" s="10"/>
      <c r="P52" s="10"/>
      <c r="Q52" s="26"/>
      <c r="R52" s="41"/>
      <c r="S52" s="10"/>
      <c r="T52" s="181"/>
      <c r="U52" s="13"/>
      <c r="V52" s="7"/>
      <c r="W52" s="7"/>
      <c r="X52" s="7"/>
      <c r="Y52" s="7"/>
    </row>
    <row r="53" ht="15.75" customHeight="1">
      <c r="A53" s="28"/>
      <c r="B53" s="29" t="s">
        <v>13</v>
      </c>
      <c r="C53" s="30" t="s">
        <v>763</v>
      </c>
      <c r="D53" s="31"/>
      <c r="E53" s="12"/>
      <c r="F53" s="28"/>
      <c r="G53" s="29" t="s">
        <v>13</v>
      </c>
      <c r="H53" s="30" t="s">
        <v>764</v>
      </c>
      <c r="I53" s="21"/>
      <c r="J53" s="10"/>
      <c r="K53" s="28"/>
      <c r="L53" s="29" t="s">
        <v>13</v>
      </c>
      <c r="M53" s="30" t="s">
        <v>765</v>
      </c>
      <c r="N53" s="21"/>
      <c r="O53" s="10"/>
      <c r="P53" s="28"/>
      <c r="Q53" s="29" t="s">
        <v>13</v>
      </c>
      <c r="R53" s="43" t="s">
        <v>766</v>
      </c>
      <c r="S53" s="180"/>
      <c r="T53" s="181"/>
      <c r="U53" s="13"/>
      <c r="V53" s="7"/>
      <c r="W53" s="7"/>
      <c r="X53" s="7"/>
      <c r="Y53" s="7"/>
    </row>
    <row r="54" ht="17.25" customHeight="1">
      <c r="A54" s="167" t="s">
        <v>18</v>
      </c>
      <c r="B54" s="169">
        <f>AVERAGE(B55:B60)</f>
        <v>0</v>
      </c>
      <c r="D54" s="31"/>
      <c r="E54" s="12"/>
      <c r="F54" s="167" t="s">
        <v>18</v>
      </c>
      <c r="G54" s="169">
        <f>AVERAGE(G55:G60)</f>
        <v>0</v>
      </c>
      <c r="I54" s="21"/>
      <c r="J54" s="10"/>
      <c r="K54" s="167" t="s">
        <v>18</v>
      </c>
      <c r="L54" s="169">
        <f>AVERAGE(L55:L60)</f>
        <v>0</v>
      </c>
      <c r="N54" s="21"/>
      <c r="O54" s="10"/>
      <c r="P54" s="167" t="s">
        <v>18</v>
      </c>
      <c r="Q54" s="169">
        <f>AVERAGE(Q55:Q60)</f>
        <v>0</v>
      </c>
      <c r="S54" s="182"/>
      <c r="T54" s="181"/>
      <c r="U54" s="13"/>
      <c r="V54" s="7"/>
      <c r="W54" s="7"/>
      <c r="X54" s="7"/>
      <c r="Y54" s="7"/>
    </row>
    <row r="55" ht="15.0" customHeight="1">
      <c r="A55" s="171" t="s">
        <v>19</v>
      </c>
      <c r="B55" s="183">
        <v>0.0</v>
      </c>
      <c r="D55" s="31"/>
      <c r="E55" s="12"/>
      <c r="F55" s="171" t="s">
        <v>19</v>
      </c>
      <c r="G55" s="183">
        <v>0.0</v>
      </c>
      <c r="I55" s="21"/>
      <c r="J55" s="10"/>
      <c r="K55" s="171" t="s">
        <v>19</v>
      </c>
      <c r="L55" s="183">
        <v>0.0</v>
      </c>
      <c r="N55" s="21"/>
      <c r="O55" s="10"/>
      <c r="P55" s="171" t="s">
        <v>19</v>
      </c>
      <c r="Q55" s="183">
        <v>0.0</v>
      </c>
      <c r="S55" s="185"/>
      <c r="T55" s="181"/>
      <c r="U55" s="13"/>
      <c r="V55" s="7"/>
      <c r="W55" s="7"/>
      <c r="X55" s="7"/>
      <c r="Y55" s="7"/>
    </row>
    <row r="56" ht="15.0" customHeight="1">
      <c r="A56" s="174" t="s">
        <v>767</v>
      </c>
      <c r="B56" s="178">
        <v>0.0</v>
      </c>
      <c r="D56" s="31"/>
      <c r="E56" s="12"/>
      <c r="F56" s="174" t="s">
        <v>768</v>
      </c>
      <c r="G56" s="178">
        <v>0.0</v>
      </c>
      <c r="I56" s="21"/>
      <c r="J56" s="10"/>
      <c r="K56" s="174" t="s">
        <v>769</v>
      </c>
      <c r="L56" s="178">
        <v>0.0</v>
      </c>
      <c r="N56" s="21"/>
      <c r="O56" s="10"/>
      <c r="P56" s="174" t="s">
        <v>770</v>
      </c>
      <c r="Q56" s="178">
        <v>0.0</v>
      </c>
      <c r="S56" s="186"/>
      <c r="T56" s="181"/>
      <c r="U56" s="13"/>
      <c r="V56" s="7"/>
      <c r="W56" s="7"/>
      <c r="X56" s="7"/>
      <c r="Y56" s="7"/>
    </row>
    <row r="57" ht="15.0" customHeight="1">
      <c r="A57" s="177" t="s">
        <v>771</v>
      </c>
      <c r="B57" s="183">
        <v>0.0</v>
      </c>
      <c r="D57" s="31"/>
      <c r="E57" s="12"/>
      <c r="F57" s="177" t="s">
        <v>772</v>
      </c>
      <c r="G57" s="183">
        <v>0.0</v>
      </c>
      <c r="I57" s="21"/>
      <c r="J57" s="10"/>
      <c r="K57" s="177" t="s">
        <v>773</v>
      </c>
      <c r="L57" s="183">
        <v>0.0</v>
      </c>
      <c r="N57" s="21"/>
      <c r="O57" s="10"/>
      <c r="P57" s="177" t="s">
        <v>774</v>
      </c>
      <c r="Q57" s="183">
        <v>0.0</v>
      </c>
      <c r="S57" s="185"/>
      <c r="T57" s="181"/>
      <c r="U57" s="13"/>
      <c r="V57" s="7"/>
      <c r="W57" s="7"/>
      <c r="X57" s="7"/>
      <c r="Y57" s="7"/>
    </row>
    <row r="58" ht="15.0" customHeight="1">
      <c r="A58" s="174" t="s">
        <v>775</v>
      </c>
      <c r="B58" s="178">
        <v>0.0</v>
      </c>
      <c r="D58" s="31"/>
      <c r="E58" s="12"/>
      <c r="F58" s="174" t="s">
        <v>776</v>
      </c>
      <c r="G58" s="178">
        <v>0.0</v>
      </c>
      <c r="I58" s="21"/>
      <c r="J58" s="10"/>
      <c r="K58" s="174" t="s">
        <v>777</v>
      </c>
      <c r="L58" s="178">
        <v>0.0</v>
      </c>
      <c r="N58" s="21"/>
      <c r="O58" s="10"/>
      <c r="P58" s="174" t="s">
        <v>778</v>
      </c>
      <c r="Q58" s="178">
        <v>0.0</v>
      </c>
      <c r="S58" s="186"/>
      <c r="T58" s="181"/>
      <c r="U58" s="13"/>
      <c r="V58" s="7"/>
      <c r="W58" s="7"/>
      <c r="X58" s="7"/>
      <c r="Y58" s="7"/>
    </row>
    <row r="59" ht="15.0" customHeight="1">
      <c r="A59" s="177" t="s">
        <v>779</v>
      </c>
      <c r="B59" s="183">
        <v>0.0</v>
      </c>
      <c r="D59" s="31"/>
      <c r="E59" s="12"/>
      <c r="F59" s="177" t="s">
        <v>780</v>
      </c>
      <c r="G59" s="183">
        <v>0.0</v>
      </c>
      <c r="I59" s="21"/>
      <c r="J59" s="10"/>
      <c r="K59" s="177" t="s">
        <v>781</v>
      </c>
      <c r="L59" s="183">
        <v>0.0</v>
      </c>
      <c r="N59" s="21"/>
      <c r="O59" s="10"/>
      <c r="P59" s="177" t="s">
        <v>782</v>
      </c>
      <c r="Q59" s="183">
        <v>0.0</v>
      </c>
      <c r="S59" s="185"/>
      <c r="T59" s="181"/>
      <c r="U59" s="13"/>
      <c r="V59" s="7"/>
      <c r="W59" s="7"/>
      <c r="X59" s="7"/>
      <c r="Y59" s="7"/>
    </row>
    <row r="60" ht="15.0" customHeight="1">
      <c r="A60" s="174" t="s">
        <v>783</v>
      </c>
      <c r="B60" s="178">
        <v>0.0</v>
      </c>
      <c r="D60" s="31"/>
      <c r="E60" s="12"/>
      <c r="F60" s="174" t="s">
        <v>784</v>
      </c>
      <c r="G60" s="189">
        <v>0.0</v>
      </c>
      <c r="I60" s="21"/>
      <c r="J60" s="10"/>
      <c r="K60" s="174" t="s">
        <v>785</v>
      </c>
      <c r="L60" s="189">
        <v>0.0</v>
      </c>
      <c r="N60" s="21"/>
      <c r="O60" s="10"/>
      <c r="P60" s="174" t="s">
        <v>786</v>
      </c>
      <c r="Q60" s="189">
        <v>0.0</v>
      </c>
      <c r="S60" s="186"/>
      <c r="T60" s="181"/>
      <c r="U60" s="13"/>
      <c r="V60" s="7"/>
      <c r="W60" s="7"/>
      <c r="X60" s="7"/>
      <c r="Y60" s="7"/>
    </row>
    <row r="61" ht="15.0" customHeight="1">
      <c r="A61" s="12"/>
      <c r="B61" s="12"/>
      <c r="C61" s="48"/>
      <c r="D61" s="12"/>
      <c r="E61" s="12"/>
      <c r="F61" s="12"/>
      <c r="G61" s="48"/>
      <c r="H61" s="48"/>
      <c r="I61" s="12"/>
      <c r="J61" s="12"/>
      <c r="K61" s="12"/>
      <c r="L61" s="48"/>
      <c r="M61" s="48"/>
      <c r="N61" s="12"/>
      <c r="O61" s="12"/>
      <c r="P61" s="12"/>
      <c r="Q61" s="48"/>
      <c r="R61" s="48"/>
      <c r="S61" s="12"/>
      <c r="T61" s="12"/>
      <c r="U61" s="13"/>
      <c r="V61" s="7"/>
      <c r="W61" s="7"/>
      <c r="X61" s="7"/>
      <c r="Y61" s="7"/>
    </row>
    <row r="62" ht="15.0" customHeight="1">
      <c r="A62" s="12"/>
      <c r="B62" s="12"/>
      <c r="C62" s="12"/>
      <c r="D62" s="12"/>
      <c r="E62" s="12"/>
      <c r="F62" s="12"/>
      <c r="G62" s="12"/>
      <c r="H62" s="12"/>
      <c r="I62" s="12"/>
      <c r="J62" s="12"/>
      <c r="K62" s="12"/>
      <c r="L62" s="12"/>
      <c r="M62" s="12"/>
      <c r="N62" s="12"/>
      <c r="O62" s="12"/>
      <c r="P62" s="12"/>
      <c r="Q62" s="12"/>
      <c r="R62" s="12"/>
      <c r="S62" s="12"/>
      <c r="T62" s="12"/>
      <c r="U62" s="13"/>
      <c r="V62" s="7"/>
      <c r="W62" s="7"/>
      <c r="X62" s="7"/>
      <c r="Y62" s="7"/>
    </row>
    <row r="63" ht="15.0" customHeight="1">
      <c r="A63" s="27"/>
      <c r="B63" s="27"/>
      <c r="C63" s="27"/>
      <c r="D63" s="27"/>
      <c r="E63" s="27"/>
      <c r="F63" s="27"/>
      <c r="G63" s="27"/>
      <c r="H63" s="27"/>
      <c r="I63" s="27"/>
      <c r="J63" s="27"/>
      <c r="K63" s="27"/>
      <c r="L63" s="27"/>
      <c r="M63" s="27"/>
      <c r="N63" s="27"/>
      <c r="O63" s="27"/>
      <c r="P63" s="27"/>
      <c r="Q63" s="27"/>
      <c r="R63" s="27"/>
      <c r="S63" s="27"/>
      <c r="T63" s="27"/>
      <c r="U63" s="52"/>
      <c r="V63" s="17"/>
      <c r="W63" s="17"/>
      <c r="X63" s="17"/>
      <c r="Y63" s="17"/>
    </row>
    <row r="64" ht="15.0" customHeight="1">
      <c r="A64" s="54"/>
    </row>
  </sheetData>
  <mergeCells count="31">
    <mergeCell ref="A1:Y1"/>
    <mergeCell ref="A2:Y2"/>
    <mergeCell ref="A3:U3"/>
    <mergeCell ref="B4:F4"/>
    <mergeCell ref="G4:I4"/>
    <mergeCell ref="B5:F5"/>
    <mergeCell ref="G5:K6"/>
    <mergeCell ref="B6:F6"/>
    <mergeCell ref="D8:D15"/>
    <mergeCell ref="I8:I15"/>
    <mergeCell ref="N8:N15"/>
    <mergeCell ref="T8:T15"/>
    <mergeCell ref="H17:H24"/>
    <mergeCell ref="M17:M24"/>
    <mergeCell ref="C17:C24"/>
    <mergeCell ref="C26:C33"/>
    <mergeCell ref="H26:H33"/>
    <mergeCell ref="M26:M33"/>
    <mergeCell ref="R26:R33"/>
    <mergeCell ref="H35:H42"/>
    <mergeCell ref="M35:M42"/>
    <mergeCell ref="R44:R51"/>
    <mergeCell ref="R53:R60"/>
    <mergeCell ref="C35:C42"/>
    <mergeCell ref="C44:C51"/>
    <mergeCell ref="H44:H51"/>
    <mergeCell ref="M44:M51"/>
    <mergeCell ref="C53:C60"/>
    <mergeCell ref="H53:H60"/>
    <mergeCell ref="M53:M60"/>
    <mergeCell ref="A64:U64"/>
  </mergeCells>
  <hyperlinks>
    <hyperlink r:id="rId1" ref="G5"/>
    <hyperlink r:id="rId2" ref="P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3.75"/>
    <col customWidth="1" min="2" max="6" width="8.75"/>
    <col customWidth="1" min="7" max="7" width="9.38"/>
    <col customWidth="1" min="8" max="8" width="22.13"/>
    <col customWidth="1" min="9" max="13" width="8.75"/>
    <col customWidth="1" min="14" max="14" width="10.75"/>
    <col customWidth="1" min="15" max="15" width="24.5"/>
    <col customWidth="1" min="16" max="20" width="8.75"/>
    <col customWidth="1" min="21" max="21" width="10.63"/>
    <col customWidth="1" min="22" max="22" width="21.5"/>
    <col customWidth="1" min="23" max="29" width="8.75"/>
    <col customWidth="1" min="30" max="30" width="10.5"/>
  </cols>
  <sheetData>
    <row r="1" ht="22.5" customHeight="1">
      <c r="A1" s="190" t="str">
        <f>Barb!A1</f>
        <v>- OUTDATED -
</v>
      </c>
    </row>
    <row r="2" ht="22.5" customHeight="1">
      <c r="A2" s="191"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22.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row>
    <row r="4" ht="22.5" customHeight="1">
      <c r="A4" s="68" t="str">
        <f>Barb!A4</f>
        <v>100% tested (2.0.6)</v>
      </c>
      <c r="B4" s="155" t="str">
        <f>'Barb (PP)'!B4</f>
        <v>Proc Coefficients</v>
      </c>
      <c r="C4" s="7"/>
      <c r="D4" s="7"/>
      <c r="E4" s="7"/>
      <c r="F4" s="7"/>
      <c r="G4" s="8"/>
      <c r="H4" s="70" t="str">
        <f>Barb!G4</f>
        <v>Downloadable Sheet:</v>
      </c>
      <c r="I4" s="8"/>
      <c r="J4" s="71"/>
      <c r="K4" s="71"/>
      <c r="L4" s="71"/>
      <c r="M4" s="71"/>
      <c r="N4" s="10"/>
      <c r="O4" s="10"/>
      <c r="P4" s="10"/>
      <c r="Q4" s="10"/>
      <c r="R4" s="10"/>
      <c r="S4" s="10"/>
      <c r="T4" s="10"/>
      <c r="U4" s="10"/>
      <c r="V4" s="10"/>
      <c r="W4" s="12"/>
      <c r="X4" s="12"/>
      <c r="Y4" s="12"/>
      <c r="Z4" s="12"/>
      <c r="AA4" s="12"/>
      <c r="AB4" s="12"/>
      <c r="AC4" s="12"/>
      <c r="AD4" s="13"/>
    </row>
    <row r="5" ht="15.75" customHeight="1">
      <c r="A5" s="156" t="str">
        <f>Barb!A5</f>
        <v>Updated: 7/10/14</v>
      </c>
      <c r="B5" s="157" t="str">
        <f>'Barb (PP)'!B5</f>
        <v>(per second)</v>
      </c>
      <c r="C5" s="7"/>
      <c r="D5" s="7"/>
      <c r="E5" s="7"/>
      <c r="F5" s="7"/>
      <c r="G5" s="8"/>
      <c r="H5" s="74" t="s">
        <v>8</v>
      </c>
      <c r="I5" s="17"/>
      <c r="J5" s="17"/>
      <c r="K5" s="18"/>
      <c r="L5" s="158"/>
      <c r="M5" s="158"/>
      <c r="N5" s="10"/>
      <c r="O5" s="192"/>
      <c r="P5" s="192"/>
      <c r="Q5" s="192"/>
      <c r="R5" s="192"/>
      <c r="S5" s="192"/>
      <c r="T5" s="10"/>
      <c r="U5" s="10"/>
      <c r="V5" s="10"/>
      <c r="W5" s="12"/>
      <c r="X5" s="12"/>
      <c r="Y5" s="12"/>
      <c r="Z5" s="12"/>
      <c r="AA5" s="12"/>
      <c r="AB5" s="12"/>
      <c r="AC5" s="12"/>
      <c r="AD5" s="13"/>
    </row>
    <row r="6" ht="38.25" customHeight="1">
      <c r="A6" s="160" t="str">
        <f>'Barb (PP)'!A6</f>
        <v>S/E = skill/effect procs</v>
      </c>
      <c r="B6" s="163" t="s">
        <v>652</v>
      </c>
      <c r="C6" s="7"/>
      <c r="D6" s="7"/>
      <c r="E6" s="7"/>
      <c r="F6" s="7"/>
      <c r="G6" s="8"/>
      <c r="H6" s="23"/>
      <c r="I6" s="4"/>
      <c r="J6" s="4"/>
      <c r="K6" s="24"/>
      <c r="L6" s="158"/>
      <c r="M6" s="158"/>
      <c r="N6" s="10"/>
      <c r="O6" s="10"/>
      <c r="P6" s="26"/>
      <c r="Q6" s="26"/>
      <c r="R6" s="26"/>
      <c r="S6" s="26"/>
      <c r="T6" s="10"/>
      <c r="U6" s="10"/>
      <c r="V6" s="10"/>
      <c r="W6" s="27"/>
      <c r="X6" s="27"/>
      <c r="Y6" s="27"/>
      <c r="Z6" s="27"/>
      <c r="AA6" s="27"/>
      <c r="AB6" s="27"/>
      <c r="AC6" s="12"/>
      <c r="AD6" s="13"/>
    </row>
    <row r="7" ht="15.0" customHeight="1">
      <c r="A7" s="193"/>
      <c r="B7" s="194" t="s">
        <v>787</v>
      </c>
      <c r="C7" s="17"/>
      <c r="D7" s="194" t="s">
        <v>788</v>
      </c>
      <c r="E7" s="17"/>
      <c r="F7" s="195"/>
      <c r="G7" s="10"/>
      <c r="H7" s="193"/>
      <c r="I7" s="194" t="s">
        <v>787</v>
      </c>
      <c r="J7" s="17"/>
      <c r="K7" s="194" t="s">
        <v>788</v>
      </c>
      <c r="L7" s="17"/>
      <c r="M7" s="195"/>
      <c r="N7" s="10"/>
      <c r="O7" s="193"/>
      <c r="P7" s="196" t="s">
        <v>787</v>
      </c>
      <c r="R7" s="196" t="s">
        <v>788</v>
      </c>
      <c r="T7" s="195"/>
      <c r="U7" s="10"/>
      <c r="V7" s="193"/>
      <c r="W7" s="196" t="s">
        <v>789</v>
      </c>
      <c r="Y7" s="196" t="s">
        <v>790</v>
      </c>
      <c r="AA7" s="196" t="s">
        <v>788</v>
      </c>
      <c r="AC7" s="197"/>
      <c r="AD7" s="13"/>
    </row>
    <row r="8" ht="15.0" customHeight="1">
      <c r="A8" s="28"/>
      <c r="B8" s="29" t="s">
        <v>338</v>
      </c>
      <c r="C8" s="198" t="s">
        <v>339</v>
      </c>
      <c r="D8" s="198" t="s">
        <v>338</v>
      </c>
      <c r="E8" s="198" t="s">
        <v>339</v>
      </c>
      <c r="F8" s="30" t="s">
        <v>655</v>
      </c>
      <c r="G8" s="21"/>
      <c r="H8" s="28"/>
      <c r="I8" s="29" t="s">
        <v>338</v>
      </c>
      <c r="J8" s="57" t="s">
        <v>339</v>
      </c>
      <c r="K8" s="29" t="s">
        <v>338</v>
      </c>
      <c r="L8" s="57" t="s">
        <v>339</v>
      </c>
      <c r="M8" s="30" t="s">
        <v>656</v>
      </c>
      <c r="N8" s="31"/>
      <c r="O8" s="28"/>
      <c r="P8" s="29" t="s">
        <v>338</v>
      </c>
      <c r="Q8" s="57" t="s">
        <v>339</v>
      </c>
      <c r="R8" s="29" t="s">
        <v>338</v>
      </c>
      <c r="S8" s="57" t="s">
        <v>339</v>
      </c>
      <c r="T8" s="30" t="s">
        <v>657</v>
      </c>
      <c r="U8" s="31"/>
      <c r="V8" s="28"/>
      <c r="W8" s="29" t="s">
        <v>338</v>
      </c>
      <c r="X8" s="57" t="s">
        <v>339</v>
      </c>
      <c r="Y8" s="29" t="s">
        <v>338</v>
      </c>
      <c r="Z8" s="57" t="s">
        <v>339</v>
      </c>
      <c r="AA8" s="29" t="s">
        <v>338</v>
      </c>
      <c r="AB8" s="57" t="s">
        <v>339</v>
      </c>
      <c r="AC8" s="43" t="s">
        <v>659</v>
      </c>
      <c r="AD8" s="96"/>
    </row>
    <row r="9" ht="17.25" customHeight="1">
      <c r="A9" s="167" t="s">
        <v>18</v>
      </c>
      <c r="B9" s="199">
        <f t="shared" ref="B9:E9" si="1">AVERAGE(B10:B15)</f>
        <v>1.068548387</v>
      </c>
      <c r="C9" s="168">
        <f t="shared" si="1"/>
        <v>0.8187068671</v>
      </c>
      <c r="D9" s="168">
        <f t="shared" si="1"/>
        <v>0.924</v>
      </c>
      <c r="E9" s="169">
        <f t="shared" si="1"/>
        <v>0.6797011547</v>
      </c>
      <c r="G9" s="21"/>
      <c r="H9" s="167" t="s">
        <v>18</v>
      </c>
      <c r="I9" s="168">
        <f t="shared" ref="I9:L9" si="2">AVERAGE(I10:I15)</f>
        <v>1.076666667</v>
      </c>
      <c r="J9" s="168">
        <f t="shared" si="2"/>
        <v>0.9093385734</v>
      </c>
      <c r="K9" s="168">
        <f t="shared" si="2"/>
        <v>0.8079166667</v>
      </c>
      <c r="L9" s="169">
        <f t="shared" si="2"/>
        <v>0.7189029488</v>
      </c>
      <c r="N9" s="31"/>
      <c r="O9" s="167" t="s">
        <v>18</v>
      </c>
      <c r="P9" s="168">
        <f t="shared" ref="P9:S9" si="3">AVERAGE(P10:P15)</f>
        <v>0.8625</v>
      </c>
      <c r="Q9" s="168">
        <f t="shared" si="3"/>
        <v>0.7969369009</v>
      </c>
      <c r="R9" s="168">
        <f t="shared" si="3"/>
        <v>0.54625</v>
      </c>
      <c r="S9" s="169">
        <f t="shared" si="3"/>
        <v>0.5229244885</v>
      </c>
      <c r="U9" s="31"/>
      <c r="V9" s="167" t="s">
        <v>18</v>
      </c>
      <c r="W9" s="168">
        <f t="shared" ref="W9:AB9" si="4">AVERAGE(W10:W15)</f>
        <v>1.00625</v>
      </c>
      <c r="X9" s="168">
        <f t="shared" si="4"/>
        <v>0.8239083137</v>
      </c>
      <c r="Y9" s="168">
        <f t="shared" si="4"/>
        <v>0.897</v>
      </c>
      <c r="Z9" s="168">
        <f t="shared" si="4"/>
        <v>0.5978995009</v>
      </c>
      <c r="AA9" s="168">
        <f t="shared" si="4"/>
        <v>0.6708333333</v>
      </c>
      <c r="AB9" s="169">
        <f t="shared" si="4"/>
        <v>0.6244789739</v>
      </c>
      <c r="AD9" s="96"/>
    </row>
    <row r="10" ht="15.0" customHeight="1">
      <c r="A10" s="171" t="s">
        <v>19</v>
      </c>
      <c r="B10" s="172">
        <f>Monk!B10*1*(90/60)</f>
        <v>1.282258065</v>
      </c>
      <c r="C10" s="172">
        <f>1-(1-Monk!B10)^(90/60)</f>
        <v>0.9446934931</v>
      </c>
      <c r="D10" s="172">
        <f>Monk!C10*1*(90/60)</f>
        <v>0.924</v>
      </c>
      <c r="E10" s="173">
        <f>1-(1-Monk!C10)^(90/60)</f>
        <v>0.7620439032</v>
      </c>
      <c r="G10" s="21"/>
      <c r="H10" s="171" t="s">
        <v>19</v>
      </c>
      <c r="I10" s="172">
        <f>Monk!G10*1*(75/60)</f>
        <v>1.0625</v>
      </c>
      <c r="J10" s="172">
        <f>1-(1-Monk!G10)^(75/60)</f>
        <v>0.9066500534</v>
      </c>
      <c r="K10" s="172">
        <f>Monk!H10*1*(75/60)</f>
        <v>0.9375</v>
      </c>
      <c r="L10" s="173">
        <f>1-(1-Monk!H10)^(75/60)</f>
        <v>0.8232233047</v>
      </c>
      <c r="N10" s="31"/>
      <c r="O10" s="171" t="s">
        <v>19</v>
      </c>
      <c r="P10" s="172">
        <f>Monk!L10*1*(69/60)</f>
        <v>0.8625</v>
      </c>
      <c r="Q10" s="172">
        <f>1-(1-Monk!L10)^(69/60)</f>
        <v>0.7969369009</v>
      </c>
      <c r="R10" s="172">
        <f>Monk!M10*1*(69/60)</f>
        <v>0.575</v>
      </c>
      <c r="S10" s="173">
        <f>1-(1-Monk!M10)^(69/60)</f>
        <v>0.5493747687</v>
      </c>
      <c r="U10" s="31"/>
      <c r="V10" s="171" t="s">
        <v>19</v>
      </c>
      <c r="W10" s="172">
        <f>Monk!Q10*1*(69/60)</f>
        <v>0.8625</v>
      </c>
      <c r="X10" s="172">
        <f>1-(1-Monk!Q10)^(69/60)</f>
        <v>0.7969369009</v>
      </c>
      <c r="Y10" s="172">
        <f>Monk!R10*7*(69/60)</f>
        <v>0.7245</v>
      </c>
      <c r="Z10" s="172">
        <f>1-(1-Monk!R10)^(7*(69/60))</f>
        <v>0.531959744</v>
      </c>
      <c r="AA10" s="172">
        <f>Monk!S10*1*(69/60)</f>
        <v>0.575</v>
      </c>
      <c r="AB10" s="173">
        <f>1-(1-Monk!S10)^(69/60)</f>
        <v>0.5493747687</v>
      </c>
      <c r="AD10" s="96"/>
    </row>
    <row r="11" ht="15.0" customHeight="1">
      <c r="A11" s="174" t="s">
        <v>660</v>
      </c>
      <c r="B11" s="175">
        <f>Monk!B11*1*(90/60)</f>
        <v>0.6411290323</v>
      </c>
      <c r="C11" s="175">
        <f>1-(1-Monk!B11)^(1*(90/60))</f>
        <v>0.5667336152</v>
      </c>
      <c r="D11" s="175">
        <f>Monk!C11*2*(90/60)</f>
        <v>1.848</v>
      </c>
      <c r="E11" s="176">
        <f>1-(1-Monk!C11)^(2*(90/60))</f>
        <v>0.943376896</v>
      </c>
      <c r="G11" s="21"/>
      <c r="H11" s="174" t="s">
        <v>661</v>
      </c>
      <c r="I11" s="175">
        <f>Monk!G11*1*(75/60)</f>
        <v>1.0625</v>
      </c>
      <c r="J11" s="175">
        <f>1-(1-Monk!G11)^(75/60)</f>
        <v>0.9066500534</v>
      </c>
      <c r="K11" s="175">
        <f>Monk!H11*1*(75/60)</f>
        <v>0.625</v>
      </c>
      <c r="L11" s="176">
        <f>1-(1-Monk!H11)^(75/60)</f>
        <v>0.5795517924</v>
      </c>
      <c r="N11" s="31"/>
      <c r="O11" s="174" t="s">
        <v>662</v>
      </c>
      <c r="P11" s="175">
        <f>Monk!L11*1*(69/60)</f>
        <v>0.8625</v>
      </c>
      <c r="Q11" s="175">
        <f>1-(1-Monk!L11)^(69/60)</f>
        <v>0.7969369009</v>
      </c>
      <c r="R11" s="175">
        <f>Monk!M11*1*(69/60)</f>
        <v>0.575</v>
      </c>
      <c r="S11" s="176">
        <f>1-(1-Monk!M11)^(69/60)</f>
        <v>0.5493747687</v>
      </c>
      <c r="U11" s="31"/>
      <c r="V11" s="174" t="s">
        <v>663</v>
      </c>
      <c r="W11" s="175">
        <f>Monk!Q11*1*(69/60)</f>
        <v>0.8625</v>
      </c>
      <c r="X11" s="175">
        <f>1-(1-Monk!Q11)^(69/60)</f>
        <v>0.7969369009</v>
      </c>
      <c r="Y11" s="175">
        <f>Monk!R11*10*(69/60)</f>
        <v>1.035</v>
      </c>
      <c r="Z11" s="175">
        <f>1-(1-Monk!R11)^(10*(69/60))</f>
        <v>0.6619538363</v>
      </c>
      <c r="AA11" s="175">
        <f>Monk!S11*1*(69/60)</f>
        <v>0.575</v>
      </c>
      <c r="AB11" s="176">
        <f>1-(1-Monk!S11)^(69/60)</f>
        <v>0.5493747687</v>
      </c>
      <c r="AD11" s="96"/>
    </row>
    <row r="12" ht="15.0" customHeight="1">
      <c r="A12" s="177" t="s">
        <v>664</v>
      </c>
      <c r="B12" s="172">
        <f>Monk!B12*1*(90/60)</f>
        <v>1.282258065</v>
      </c>
      <c r="C12" s="172">
        <f>1-(1-Monk!B12)^(90/60)</f>
        <v>0.9446934931</v>
      </c>
      <c r="D12" s="172">
        <f>Monk!C12*1*(90/60)</f>
        <v>0.924</v>
      </c>
      <c r="E12" s="173">
        <f>1-(1-Monk!C12)^(90/60)</f>
        <v>0.7620439032</v>
      </c>
      <c r="G12" s="21"/>
      <c r="H12" s="177" t="s">
        <v>665</v>
      </c>
      <c r="I12" s="172">
        <f>Monk!G12*1*(75/60)</f>
        <v>1.0625</v>
      </c>
      <c r="J12" s="172">
        <f>1-(1-Monk!G12)^(75/60)</f>
        <v>0.9066500534</v>
      </c>
      <c r="K12" s="172">
        <f>Monk!H12*1*(75/60)</f>
        <v>0.9375</v>
      </c>
      <c r="L12" s="173">
        <f>1-(1-Monk!H12)^(75/60)</f>
        <v>0.8232233047</v>
      </c>
      <c r="N12" s="31"/>
      <c r="O12" s="177" t="s">
        <v>666</v>
      </c>
      <c r="P12" s="172">
        <f>Monk!L12*1*(69/60)</f>
        <v>0.8625</v>
      </c>
      <c r="Q12" s="172">
        <f>1-(1-Monk!L12)^(69/60)</f>
        <v>0.7969369009</v>
      </c>
      <c r="R12" s="172">
        <f>Monk!M12*1*(69/60)</f>
        <v>0.575</v>
      </c>
      <c r="S12" s="173">
        <f>1-(1-Monk!M12)^(69/60)</f>
        <v>0.5493747687</v>
      </c>
      <c r="U12" s="31"/>
      <c r="V12" s="177" t="s">
        <v>667</v>
      </c>
      <c r="W12" s="172">
        <f>Monk!Q12*1*(69/60)</f>
        <v>0.8625</v>
      </c>
      <c r="X12" s="172">
        <f>1-(1-Monk!Q12)^(69/60)</f>
        <v>0.7969369009</v>
      </c>
      <c r="Y12" s="172">
        <f>Monk!R12*7*(69/60)</f>
        <v>0.7245</v>
      </c>
      <c r="Z12" s="172">
        <f>1-(1-Monk!R12)^(7*(69/60))</f>
        <v>0.531959744</v>
      </c>
      <c r="AA12" s="172">
        <f>Monk!S12*1*(69/60)</f>
        <v>0.575</v>
      </c>
      <c r="AB12" s="173">
        <f>1-(1-Monk!S12)^(69/60)</f>
        <v>0.5493747687</v>
      </c>
      <c r="AD12" s="96"/>
    </row>
    <row r="13" ht="15.0" customHeight="1">
      <c r="A13" s="174" t="s">
        <v>668</v>
      </c>
      <c r="B13" s="175">
        <f>Monk!B13*1*(90/60)</f>
        <v>0.6411290323</v>
      </c>
      <c r="C13" s="175">
        <f>1-(1-Monk!B13)^(90/60)</f>
        <v>0.5667336152</v>
      </c>
      <c r="D13" s="175">
        <f>Monk!C13*1*(90/60)</f>
        <v>0.462</v>
      </c>
      <c r="E13" s="176">
        <f>1-(1-Monk!C13)^(90/60)</f>
        <v>0.4243491614</v>
      </c>
      <c r="G13" s="21"/>
      <c r="H13" s="174" t="s">
        <v>669</v>
      </c>
      <c r="I13" s="175">
        <f>Monk!G13*1*(81/60)</f>
        <v>1.1475</v>
      </c>
      <c r="J13" s="175">
        <f>1-(1-Monk!G13)^(81/60)</f>
        <v>0.9227811731</v>
      </c>
      <c r="K13" s="175">
        <f>Monk!H13*1*(81/60)</f>
        <v>0.4725</v>
      </c>
      <c r="L13" s="176">
        <f>1-(1-Monk!H13)^(81/60)</f>
        <v>0.4409726815</v>
      </c>
      <c r="N13" s="31"/>
      <c r="O13" s="174" t="s">
        <v>670</v>
      </c>
      <c r="P13" s="175">
        <f>Monk!L13*1*(69/60)</f>
        <v>0.8625</v>
      </c>
      <c r="Q13" s="175">
        <f>1-(1-Monk!L13)^(69/60)</f>
        <v>0.7969369009</v>
      </c>
      <c r="R13" s="175">
        <f>Monk!M13*1*(69/60)</f>
        <v>0.575</v>
      </c>
      <c r="S13" s="176">
        <f>1-(1-Monk!M13)^(69/60)</f>
        <v>0.5493747687</v>
      </c>
      <c r="U13" s="31"/>
      <c r="V13" s="174" t="s">
        <v>671</v>
      </c>
      <c r="W13" s="175">
        <f>Monk!Q13*2*(69/60)</f>
        <v>1.725</v>
      </c>
      <c r="X13" s="175">
        <f>1-(1-Monk!Q13)^(2*(69/60))</f>
        <v>0.9587653778</v>
      </c>
      <c r="Y13" s="175">
        <f>Monk!R13*7*(69/60)</f>
        <v>1.449</v>
      </c>
      <c r="Z13" s="175">
        <f>1-(1-Monk!R13)^(7*(69/60))</f>
        <v>0.7976041927</v>
      </c>
      <c r="AA13" s="175">
        <f>Monk!S13*1*(69/60)</f>
        <v>1.15</v>
      </c>
      <c r="AB13" s="176">
        <f>1-(1-Monk!S13)^(69/60)</f>
        <v>1</v>
      </c>
      <c r="AD13" s="96"/>
    </row>
    <row r="14" ht="15.0" customHeight="1">
      <c r="A14" s="177" t="s">
        <v>672</v>
      </c>
      <c r="B14" s="172">
        <f>Monk!B14*1*(90/60)</f>
        <v>1.282258065</v>
      </c>
      <c r="C14" s="172">
        <f>1-(1-Monk!B14)^(90/60)</f>
        <v>0.9446934931</v>
      </c>
      <c r="D14" s="172">
        <f>Monk!C14*1*(90/60)</f>
        <v>0.924</v>
      </c>
      <c r="E14" s="173">
        <f>1-(1-Monk!C14)^(90/60)</f>
        <v>0.7620439032</v>
      </c>
      <c r="G14" s="21"/>
      <c r="H14" s="177" t="s">
        <v>673</v>
      </c>
      <c r="I14" s="172">
        <f>Monk!G14*1*(75/60)</f>
        <v>1.0625</v>
      </c>
      <c r="J14" s="172">
        <f>1-(1-Monk!G14)^(75/60)</f>
        <v>0.9066500534</v>
      </c>
      <c r="K14" s="172">
        <f>Monk!H14*1*(75/60)</f>
        <v>0.9375</v>
      </c>
      <c r="L14" s="173">
        <f>1-(1-Monk!H14)^(75/60)</f>
        <v>0.8232233047</v>
      </c>
      <c r="N14" s="31"/>
      <c r="O14" s="177" t="s">
        <v>674</v>
      </c>
      <c r="P14" s="172">
        <f>Monk!L14*1*(69/60)</f>
        <v>0.8625</v>
      </c>
      <c r="Q14" s="172">
        <f>1-(1-Monk!L14)^(69/60)</f>
        <v>0.7969369009</v>
      </c>
      <c r="R14" s="172">
        <f>Monk!M14*1*(69/60)</f>
        <v>0.4025</v>
      </c>
      <c r="S14" s="173">
        <f>1-(1-Monk!M14)^(69/60)</f>
        <v>0.3906730877</v>
      </c>
      <c r="U14" s="31"/>
      <c r="V14" s="177" t="s">
        <v>675</v>
      </c>
      <c r="W14" s="172">
        <f>Monk!Q14*1*(69/60)</f>
        <v>0.8625</v>
      </c>
      <c r="X14" s="172">
        <f>1-(1-Monk!Q14)^(69/60)</f>
        <v>0.7969369009</v>
      </c>
      <c r="Y14" s="172">
        <f>Monk!R14*7*(69/60)</f>
        <v>0.7245</v>
      </c>
      <c r="Z14" s="172">
        <f>1-(1-Monk!R14)^(7*(69/60))</f>
        <v>0.531959744</v>
      </c>
      <c r="AA14" s="172">
        <f>Monk!S14*1*(69/60)</f>
        <v>0.575</v>
      </c>
      <c r="AB14" s="173">
        <f>1-(1-Monk!S14)^(69/60)</f>
        <v>0.5493747687</v>
      </c>
      <c r="AD14" s="96"/>
    </row>
    <row r="15" ht="15.0" customHeight="1">
      <c r="A15" s="174" t="s">
        <v>676</v>
      </c>
      <c r="B15" s="175">
        <f>Monk!B15*1*(90/60)</f>
        <v>1.282258065</v>
      </c>
      <c r="C15" s="175">
        <f>1-(1-Monk!B15)^(90/60)</f>
        <v>0.9446934931</v>
      </c>
      <c r="D15" s="175">
        <f>Monk!C15*1*(90/60)</f>
        <v>0.462</v>
      </c>
      <c r="E15" s="176">
        <f>1-(1-Monk!C15)^(90/60)</f>
        <v>0.4243491614</v>
      </c>
      <c r="G15" s="21"/>
      <c r="H15" s="174" t="s">
        <v>677</v>
      </c>
      <c r="I15" s="175">
        <f>Monk!G15*1*(75/60)</f>
        <v>1.0625</v>
      </c>
      <c r="J15" s="175">
        <f>1-(1-Monk!G15)^(75/60)</f>
        <v>0.9066500534</v>
      </c>
      <c r="K15" s="175">
        <f>Monk!H15*1*(75/60)</f>
        <v>0.9375</v>
      </c>
      <c r="L15" s="176">
        <f>1-(1-Monk!H15)^(75/60)</f>
        <v>0.8232233047</v>
      </c>
      <c r="N15" s="31"/>
      <c r="O15" s="174" t="s">
        <v>678</v>
      </c>
      <c r="P15" s="175">
        <f>Monk!L15*1*(69/60)</f>
        <v>0.8625</v>
      </c>
      <c r="Q15" s="175">
        <f>1-(1-Monk!L15)^(69/60)</f>
        <v>0.7969369009</v>
      </c>
      <c r="R15" s="175">
        <f>Monk!M15*1*(69/60)</f>
        <v>0.575</v>
      </c>
      <c r="S15" s="176">
        <f>1-(1-Monk!M15)^(69/60)</f>
        <v>0.5493747687</v>
      </c>
      <c r="U15" s="31"/>
      <c r="V15" s="174" t="s">
        <v>679</v>
      </c>
      <c r="W15" s="175">
        <f>Monk!Q15*1*(69/60)</f>
        <v>0.8625</v>
      </c>
      <c r="X15" s="175">
        <f>1-(1-Monk!Q15)^(69/60)</f>
        <v>0.7969369009</v>
      </c>
      <c r="Y15" s="175">
        <f>Monk!R15*7*(69/60)</f>
        <v>0.7245</v>
      </c>
      <c r="Z15" s="175">
        <f>1-(1-Monk!R15)^(7*(69/60))</f>
        <v>0.531959744</v>
      </c>
      <c r="AA15" s="175">
        <f>Monk!S15*1*(69/60)</f>
        <v>0.575</v>
      </c>
      <c r="AB15" s="176">
        <f>1-(1-Monk!S15)^(69/60)</f>
        <v>0.5493747687</v>
      </c>
      <c r="AD15" s="96"/>
    </row>
    <row r="16" ht="15.0" customHeight="1">
      <c r="A16" s="10"/>
      <c r="B16" s="26"/>
      <c r="C16" s="26"/>
      <c r="D16" s="26"/>
      <c r="E16" s="10"/>
      <c r="F16" s="51"/>
      <c r="G16" s="12"/>
      <c r="H16" s="10"/>
      <c r="I16" s="26"/>
      <c r="J16" s="26"/>
      <c r="K16" s="26"/>
      <c r="L16" s="10"/>
      <c r="M16" s="51"/>
      <c r="N16" s="10"/>
      <c r="O16" s="10"/>
      <c r="P16" s="26"/>
      <c r="Q16" s="26"/>
      <c r="R16" s="26"/>
      <c r="S16" s="10"/>
      <c r="T16" s="51"/>
      <c r="U16" s="10"/>
      <c r="V16" s="10"/>
      <c r="W16" s="10"/>
      <c r="X16" s="10"/>
      <c r="Y16" s="10"/>
      <c r="Z16" s="10"/>
      <c r="AA16" s="10"/>
      <c r="AB16" s="10"/>
      <c r="AC16" s="48"/>
      <c r="AD16" s="13"/>
    </row>
    <row r="17" ht="15.75" customHeight="1">
      <c r="A17" s="28"/>
      <c r="B17" s="29" t="s">
        <v>338</v>
      </c>
      <c r="C17" s="57" t="s">
        <v>339</v>
      </c>
      <c r="D17" s="30" t="s">
        <v>680</v>
      </c>
      <c r="E17" s="200"/>
      <c r="F17" s="10"/>
      <c r="G17" s="12"/>
      <c r="H17" s="28"/>
      <c r="I17" s="29" t="s">
        <v>338</v>
      </c>
      <c r="J17" s="57" t="s">
        <v>339</v>
      </c>
      <c r="K17" s="30" t="s">
        <v>681</v>
      </c>
      <c r="L17" s="201"/>
      <c r="M17" s="12"/>
      <c r="N17" s="10"/>
      <c r="O17" s="28"/>
      <c r="P17" s="29" t="s">
        <v>338</v>
      </c>
      <c r="Q17" s="57" t="s">
        <v>339</v>
      </c>
      <c r="R17" s="30" t="s">
        <v>682</v>
      </c>
      <c r="S17" s="201"/>
      <c r="T17" s="12"/>
      <c r="U17" s="10"/>
      <c r="V17" s="10"/>
      <c r="W17" s="10"/>
      <c r="X17" s="10"/>
      <c r="Y17" s="10"/>
      <c r="Z17" s="10"/>
      <c r="AA17" s="10"/>
      <c r="AB17" s="10"/>
      <c r="AC17" s="12"/>
      <c r="AD17" s="13"/>
    </row>
    <row r="18" ht="17.25" customHeight="1">
      <c r="A18" s="167" t="s">
        <v>18</v>
      </c>
      <c r="B18" s="168">
        <f t="shared" ref="B18:C18" si="5">AVERAGE(B19:B24)</f>
        <v>0.6055555556</v>
      </c>
      <c r="C18" s="169">
        <f t="shared" si="5"/>
        <v>0.6055555556</v>
      </c>
      <c r="E18" s="200"/>
      <c r="F18" s="10"/>
      <c r="G18" s="12"/>
      <c r="H18" s="167" t="s">
        <v>18</v>
      </c>
      <c r="I18" s="168">
        <f t="shared" ref="I18:J18" si="6">AVERAGE(I19:I24)</f>
        <v>0.5</v>
      </c>
      <c r="J18" s="169">
        <f t="shared" si="6"/>
        <v>0.4375</v>
      </c>
      <c r="L18" s="182"/>
      <c r="M18" s="12"/>
      <c r="N18" s="10"/>
      <c r="O18" s="167" t="s">
        <v>18</v>
      </c>
      <c r="P18" s="168">
        <f t="shared" ref="P18:Q18" si="7">AVERAGE(P19:P24)</f>
        <v>0.2564814815</v>
      </c>
      <c r="Q18" s="169">
        <f t="shared" si="7"/>
        <v>0.2415843621</v>
      </c>
      <c r="S18" s="182"/>
      <c r="T18" s="12"/>
      <c r="U18" s="10"/>
      <c r="V18" s="10"/>
      <c r="W18" s="10"/>
      <c r="X18" s="10"/>
      <c r="Y18" s="10"/>
      <c r="Z18" s="10"/>
      <c r="AA18" s="10"/>
      <c r="AB18" s="10"/>
      <c r="AC18" s="12"/>
      <c r="AD18" s="13"/>
    </row>
    <row r="19" ht="15.0" customHeight="1">
      <c r="A19" s="171" t="s">
        <v>19</v>
      </c>
      <c r="B19" s="172">
        <f>Monk!B19*1</f>
        <v>0.6666666667</v>
      </c>
      <c r="C19" s="173">
        <f>1-(1-Monk!B19)^1</f>
        <v>0.6666666667</v>
      </c>
      <c r="E19" s="200"/>
      <c r="F19" s="10"/>
      <c r="G19" s="12"/>
      <c r="H19" s="171" t="s">
        <v>19</v>
      </c>
      <c r="I19" s="172">
        <f>Monk!G19*2</f>
        <v>0.5</v>
      </c>
      <c r="J19" s="173">
        <f>1-(1-Monk!G19)^2</f>
        <v>0.4375</v>
      </c>
      <c r="L19" s="185"/>
      <c r="M19" s="12"/>
      <c r="N19" s="10"/>
      <c r="O19" s="171" t="s">
        <v>19</v>
      </c>
      <c r="P19" s="172">
        <f>Monk!L19*2</f>
        <v>0.2222222222</v>
      </c>
      <c r="Q19" s="173">
        <f>1-(1-Monk!L19)^2</f>
        <v>0.2098765432</v>
      </c>
      <c r="S19" s="185"/>
      <c r="T19" s="12"/>
      <c r="U19" s="10"/>
      <c r="V19" s="10"/>
      <c r="W19" s="10"/>
      <c r="X19" s="10"/>
      <c r="Y19" s="10"/>
      <c r="Z19" s="10"/>
      <c r="AA19" s="10"/>
      <c r="AB19" s="10"/>
      <c r="AC19" s="12"/>
      <c r="AD19" s="13"/>
    </row>
    <row r="20" ht="15.0" customHeight="1">
      <c r="A20" s="174" t="s">
        <v>683</v>
      </c>
      <c r="B20" s="175">
        <f>Monk!B20*1</f>
        <v>0.5</v>
      </c>
      <c r="C20" s="176">
        <f>1-(1-Monk!B20)^1</f>
        <v>0.5</v>
      </c>
      <c r="E20" s="200"/>
      <c r="F20" s="10"/>
      <c r="G20" s="12"/>
      <c r="H20" s="174" t="s">
        <v>684</v>
      </c>
      <c r="I20" s="175">
        <f>Monk!G20*2</f>
        <v>0.5</v>
      </c>
      <c r="J20" s="176">
        <f>1-(1-Monk!G20)^2</f>
        <v>0.4375</v>
      </c>
      <c r="L20" s="185"/>
      <c r="M20" s="12"/>
      <c r="N20" s="10"/>
      <c r="O20" s="174" t="s">
        <v>685</v>
      </c>
      <c r="P20" s="175">
        <f>Monk!L20*2</f>
        <v>0.2222222222</v>
      </c>
      <c r="Q20" s="176">
        <f>1-(1-Monk!L20)^2</f>
        <v>0.2098765432</v>
      </c>
      <c r="S20" s="185"/>
      <c r="T20" s="12"/>
      <c r="U20" s="10"/>
      <c r="V20" s="10"/>
      <c r="W20" s="10"/>
      <c r="X20" s="10"/>
      <c r="Y20" s="10"/>
      <c r="Z20" s="10"/>
      <c r="AA20" s="10"/>
      <c r="AB20" s="10"/>
      <c r="AC20" s="12"/>
      <c r="AD20" s="13"/>
    </row>
    <row r="21" ht="15.0" customHeight="1">
      <c r="A21" s="177" t="s">
        <v>686</v>
      </c>
      <c r="B21" s="172">
        <f>Monk!B21*1</f>
        <v>0.5</v>
      </c>
      <c r="C21" s="173">
        <f>1-(1-Monk!B21)^1</f>
        <v>0.5</v>
      </c>
      <c r="E21" s="200"/>
      <c r="F21" s="10"/>
      <c r="G21" s="12"/>
      <c r="H21" s="177" t="s">
        <v>687</v>
      </c>
      <c r="I21" s="172">
        <f>Monk!G21*2</f>
        <v>0.5</v>
      </c>
      <c r="J21" s="173">
        <f>1-(1-Monk!G21)^2</f>
        <v>0.4375</v>
      </c>
      <c r="L21" s="185"/>
      <c r="M21" s="12"/>
      <c r="N21" s="10"/>
      <c r="O21" s="177" t="s">
        <v>688</v>
      </c>
      <c r="P21" s="172">
        <f>Monk!L21*1</f>
        <v>0.25</v>
      </c>
      <c r="Q21" s="173">
        <f>1-(1-Monk!L21)^1</f>
        <v>0.25</v>
      </c>
      <c r="S21" s="185"/>
      <c r="T21" s="12"/>
      <c r="U21" s="10"/>
      <c r="V21" s="10"/>
      <c r="W21" s="10"/>
      <c r="X21" s="10"/>
      <c r="Y21" s="10"/>
      <c r="Z21" s="10"/>
      <c r="AA21" s="10"/>
      <c r="AB21" s="10"/>
      <c r="AC21" s="12"/>
      <c r="AD21" s="13"/>
    </row>
    <row r="22" ht="15.0" customHeight="1">
      <c r="A22" s="174" t="s">
        <v>689</v>
      </c>
      <c r="B22" s="175">
        <f>Monk!B22*1</f>
        <v>0.5</v>
      </c>
      <c r="C22" s="176">
        <f>1-(1-Monk!B22)^1</f>
        <v>0.5</v>
      </c>
      <c r="E22" s="200"/>
      <c r="F22" s="10"/>
      <c r="G22" s="12"/>
      <c r="H22" s="174" t="s">
        <v>483</v>
      </c>
      <c r="I22" s="175">
        <f>Monk!G22*2</f>
        <v>0.5</v>
      </c>
      <c r="J22" s="176">
        <f>1-(1-Monk!G22)^2</f>
        <v>0.4375</v>
      </c>
      <c r="L22" s="185"/>
      <c r="M22" s="12"/>
      <c r="N22" s="10"/>
      <c r="O22" s="174" t="s">
        <v>690</v>
      </c>
      <c r="P22" s="175">
        <f>Monk!L22*2</f>
        <v>0.2222222222</v>
      </c>
      <c r="Q22" s="176">
        <f>1-(1-Monk!L22)^2</f>
        <v>0.2098765432</v>
      </c>
      <c r="S22" s="185"/>
      <c r="T22" s="12"/>
      <c r="U22" s="10"/>
      <c r="V22" s="10"/>
      <c r="W22" s="10"/>
      <c r="X22" s="10"/>
      <c r="Y22" s="10"/>
      <c r="Z22" s="10"/>
      <c r="AA22" s="10"/>
      <c r="AB22" s="10"/>
      <c r="AC22" s="12"/>
      <c r="AD22" s="13"/>
    </row>
    <row r="23" ht="15.0" customHeight="1">
      <c r="A23" s="177" t="s">
        <v>691</v>
      </c>
      <c r="B23" s="172">
        <f>Monk!B23*1</f>
        <v>0.6666666667</v>
      </c>
      <c r="C23" s="173">
        <f>1-(1-Monk!B23)^1</f>
        <v>0.6666666667</v>
      </c>
      <c r="E23" s="200"/>
      <c r="F23" s="10"/>
      <c r="G23" s="12"/>
      <c r="H23" s="177" t="s">
        <v>692</v>
      </c>
      <c r="I23" s="172">
        <f>Monk!G23*2</f>
        <v>0.5</v>
      </c>
      <c r="J23" s="173">
        <f>1-(1-Monk!G23)^2</f>
        <v>0.4375</v>
      </c>
      <c r="L23" s="185"/>
      <c r="M23" s="12"/>
      <c r="N23" s="10"/>
      <c r="O23" s="177" t="s">
        <v>693</v>
      </c>
      <c r="P23" s="172">
        <f>Monk!L23*2</f>
        <v>0.2222222222</v>
      </c>
      <c r="Q23" s="173">
        <f>1-(1-Monk!L23)^2</f>
        <v>0.2098765432</v>
      </c>
      <c r="S23" s="185"/>
      <c r="T23" s="12"/>
      <c r="U23" s="10"/>
      <c r="V23" s="10"/>
      <c r="W23" s="10"/>
      <c r="X23" s="10"/>
      <c r="Y23" s="10"/>
      <c r="Z23" s="10"/>
      <c r="AA23" s="10"/>
      <c r="AB23" s="10"/>
      <c r="AC23" s="12"/>
      <c r="AD23" s="13"/>
    </row>
    <row r="24" ht="15.0" customHeight="1">
      <c r="A24" s="174" t="s">
        <v>694</v>
      </c>
      <c r="B24" s="175">
        <f>Monk!B24*1</f>
        <v>0.8</v>
      </c>
      <c r="C24" s="176">
        <f>1-(1-Monk!B24)^1</f>
        <v>0.8</v>
      </c>
      <c r="E24" s="200"/>
      <c r="F24" s="10"/>
      <c r="G24" s="12"/>
      <c r="H24" s="174" t="s">
        <v>695</v>
      </c>
      <c r="I24" s="175">
        <f>Monk!G24*2</f>
        <v>0.5</v>
      </c>
      <c r="J24" s="176">
        <f>1-(1-Monk!G24)^2</f>
        <v>0.4375</v>
      </c>
      <c r="L24" s="185"/>
      <c r="M24" s="12"/>
      <c r="N24" s="10"/>
      <c r="O24" s="174" t="s">
        <v>696</v>
      </c>
      <c r="P24" s="175">
        <f>Monk!L24*2</f>
        <v>0.4</v>
      </c>
      <c r="Q24" s="176">
        <f>1-(1-Monk!L24)^2</f>
        <v>0.36</v>
      </c>
      <c r="S24" s="185"/>
      <c r="T24" s="12"/>
      <c r="U24" s="10"/>
      <c r="V24" s="10"/>
      <c r="W24" s="10"/>
      <c r="X24" s="10"/>
      <c r="Y24" s="10"/>
      <c r="Z24" s="10"/>
      <c r="AA24" s="10"/>
      <c r="AB24" s="10"/>
      <c r="AC24" s="12"/>
      <c r="AD24" s="13"/>
    </row>
    <row r="25" ht="15.0" customHeight="1">
      <c r="A25" s="10"/>
      <c r="B25" s="26"/>
      <c r="C25" s="26"/>
      <c r="D25" s="41"/>
      <c r="E25" s="10"/>
      <c r="F25" s="10"/>
      <c r="G25" s="12"/>
      <c r="H25" s="10"/>
      <c r="I25" s="26"/>
      <c r="J25" s="27"/>
      <c r="K25" s="41"/>
      <c r="L25" s="12"/>
      <c r="M25" s="12"/>
      <c r="N25" s="10"/>
      <c r="O25" s="10"/>
      <c r="P25" s="26"/>
      <c r="Q25" s="27"/>
      <c r="R25" s="41"/>
      <c r="S25" s="12"/>
      <c r="T25" s="12"/>
      <c r="U25" s="10"/>
      <c r="V25" s="10"/>
      <c r="W25" s="26"/>
      <c r="X25" s="26"/>
      <c r="Y25" s="26"/>
      <c r="Z25" s="10"/>
      <c r="AA25" s="10"/>
      <c r="AB25" s="10"/>
      <c r="AC25" s="12"/>
      <c r="AD25" s="13"/>
    </row>
    <row r="26" ht="15.75" customHeight="1">
      <c r="A26" s="28"/>
      <c r="B26" s="29" t="s">
        <v>338</v>
      </c>
      <c r="C26" s="57" t="s">
        <v>339</v>
      </c>
      <c r="D26" s="30" t="s">
        <v>697</v>
      </c>
      <c r="E26" s="200"/>
      <c r="F26" s="10"/>
      <c r="G26" s="12"/>
      <c r="H26" s="28"/>
      <c r="I26" s="29" t="s">
        <v>338</v>
      </c>
      <c r="J26" s="57" t="s">
        <v>339</v>
      </c>
      <c r="K26" s="30" t="s">
        <v>698</v>
      </c>
      <c r="L26" s="201"/>
      <c r="M26" s="12"/>
      <c r="N26" s="10"/>
      <c r="O26" s="28"/>
      <c r="P26" s="29" t="s">
        <v>338</v>
      </c>
      <c r="Q26" s="57" t="s">
        <v>339</v>
      </c>
      <c r="R26" s="30" t="s">
        <v>699</v>
      </c>
      <c r="S26" s="201"/>
      <c r="T26" s="12"/>
      <c r="U26" s="10"/>
      <c r="V26" s="28"/>
      <c r="W26" s="29" t="s">
        <v>338</v>
      </c>
      <c r="X26" s="57" t="s">
        <v>339</v>
      </c>
      <c r="Y26" s="43" t="s">
        <v>700</v>
      </c>
      <c r="Z26" s="202"/>
      <c r="AA26" s="203"/>
      <c r="AB26" s="203"/>
      <c r="AC26" s="181"/>
      <c r="AD26" s="13"/>
    </row>
    <row r="27" ht="17.25" customHeight="1">
      <c r="A27" s="167" t="s">
        <v>18</v>
      </c>
      <c r="B27" s="168">
        <f t="shared" ref="B27:C27" si="8">AVERAGE(B28:B33)</f>
        <v>0</v>
      </c>
      <c r="C27" s="169">
        <f t="shared" si="8"/>
        <v>0</v>
      </c>
      <c r="E27" s="200"/>
      <c r="F27" s="10"/>
      <c r="G27" s="12"/>
      <c r="H27" s="167" t="s">
        <v>18</v>
      </c>
      <c r="I27" s="168">
        <f t="shared" ref="I27:J27" si="9">AVERAGE(I28:I33)</f>
        <v>0</v>
      </c>
      <c r="J27" s="169">
        <f t="shared" si="9"/>
        <v>0</v>
      </c>
      <c r="L27" s="182"/>
      <c r="M27" s="12"/>
      <c r="N27" s="10"/>
      <c r="O27" s="167" t="s">
        <v>18</v>
      </c>
      <c r="P27" s="168">
        <f t="shared" ref="P27:Q27" si="10">AVERAGE(P28:P33)</f>
        <v>0.0025</v>
      </c>
      <c r="Q27" s="169">
        <f t="shared" si="10"/>
        <v>0.0025</v>
      </c>
      <c r="S27" s="182"/>
      <c r="T27" s="12"/>
      <c r="U27" s="10"/>
      <c r="V27" s="167" t="s">
        <v>18</v>
      </c>
      <c r="W27" s="168">
        <f t="shared" ref="W27:X27" si="11">AVERAGE(W28:W33)</f>
        <v>0</v>
      </c>
      <c r="X27" s="169">
        <f t="shared" si="11"/>
        <v>0</v>
      </c>
      <c r="Z27" s="202"/>
      <c r="AA27" s="203"/>
      <c r="AB27" s="203"/>
      <c r="AC27" s="181"/>
      <c r="AD27" s="13"/>
    </row>
    <row r="28" ht="15.0" customHeight="1">
      <c r="A28" s="171" t="s">
        <v>19</v>
      </c>
      <c r="B28" s="172">
        <f>Monk!B28*1</f>
        <v>0</v>
      </c>
      <c r="C28" s="173">
        <f>1-(1-Monk!B28)^1</f>
        <v>0</v>
      </c>
      <c r="E28" s="200"/>
      <c r="F28" s="204"/>
      <c r="G28" s="12"/>
      <c r="H28" s="171" t="s">
        <v>19</v>
      </c>
      <c r="I28" s="172">
        <f>Monk!G28*1</f>
        <v>0</v>
      </c>
      <c r="J28" s="173">
        <f>1-(1-Monk!G28)^1</f>
        <v>0</v>
      </c>
      <c r="L28" s="185"/>
      <c r="M28" s="12"/>
      <c r="N28" s="10"/>
      <c r="O28" s="171" t="s">
        <v>19</v>
      </c>
      <c r="P28" s="172">
        <f>Monk!L28*1</f>
        <v>0</v>
      </c>
      <c r="Q28" s="173">
        <f>1-(1-Monk!L28)^1</f>
        <v>0</v>
      </c>
      <c r="S28" s="185"/>
      <c r="T28" s="12"/>
      <c r="U28" s="10"/>
      <c r="V28" s="171" t="s">
        <v>19</v>
      </c>
      <c r="W28" s="172">
        <f>Monk!Q28*1</f>
        <v>0</v>
      </c>
      <c r="X28" s="173">
        <f>1-(1-Monk!Q28)^1</f>
        <v>0</v>
      </c>
      <c r="Z28" s="202"/>
      <c r="AA28" s="203"/>
      <c r="AB28" s="203"/>
      <c r="AC28" s="181"/>
      <c r="AD28" s="13"/>
    </row>
    <row r="29" ht="15.0" customHeight="1">
      <c r="A29" s="174" t="s">
        <v>701</v>
      </c>
      <c r="B29" s="175">
        <f>Monk!B29*1</f>
        <v>0</v>
      </c>
      <c r="C29" s="176">
        <f>1-(1-Monk!B29)^1</f>
        <v>0</v>
      </c>
      <c r="E29" s="200"/>
      <c r="F29" s="10"/>
      <c r="G29" s="12"/>
      <c r="H29" s="174" t="s">
        <v>702</v>
      </c>
      <c r="I29" s="175">
        <f>Monk!G29*1</f>
        <v>0</v>
      </c>
      <c r="J29" s="176">
        <f>1-(1-Monk!G29)^1</f>
        <v>0</v>
      </c>
      <c r="L29" s="185"/>
      <c r="M29" s="12"/>
      <c r="N29" s="10"/>
      <c r="O29" s="174" t="s">
        <v>703</v>
      </c>
      <c r="P29" s="175">
        <f>Monk!L29*1</f>
        <v>0</v>
      </c>
      <c r="Q29" s="176">
        <f>1-(1-Monk!L29)^1</f>
        <v>0</v>
      </c>
      <c r="S29" s="185"/>
      <c r="T29" s="12"/>
      <c r="U29" s="10"/>
      <c r="V29" s="174" t="s">
        <v>704</v>
      </c>
      <c r="W29" s="175">
        <f>Monk!Q29*1</f>
        <v>0</v>
      </c>
      <c r="X29" s="176">
        <f>1-(1-Monk!Q29)^1</f>
        <v>0</v>
      </c>
      <c r="Z29" s="202"/>
      <c r="AA29" s="203"/>
      <c r="AB29" s="203"/>
      <c r="AC29" s="181"/>
      <c r="AD29" s="13"/>
    </row>
    <row r="30" ht="15.0" customHeight="1">
      <c r="A30" s="177" t="s">
        <v>705</v>
      </c>
      <c r="B30" s="172">
        <f>Monk!B30*1</f>
        <v>0</v>
      </c>
      <c r="C30" s="173">
        <f>1-(1-Monk!B30)^1</f>
        <v>0</v>
      </c>
      <c r="E30" s="200"/>
      <c r="F30" s="10"/>
      <c r="G30" s="12"/>
      <c r="H30" s="177" t="s">
        <v>706</v>
      </c>
      <c r="I30" s="172">
        <f>Monk!G30*1</f>
        <v>0</v>
      </c>
      <c r="J30" s="173">
        <f>1-(1-Monk!G30)^1</f>
        <v>0</v>
      </c>
      <c r="L30" s="185"/>
      <c r="M30" s="12"/>
      <c r="N30" s="10"/>
      <c r="O30" s="177" t="s">
        <v>707</v>
      </c>
      <c r="P30" s="172">
        <f>Monk!L30*1</f>
        <v>0.015</v>
      </c>
      <c r="Q30" s="173">
        <f>1-(1-Monk!L30)^1</f>
        <v>0.015</v>
      </c>
      <c r="S30" s="185"/>
      <c r="T30" s="12"/>
      <c r="U30" s="10"/>
      <c r="V30" s="177" t="s">
        <v>708</v>
      </c>
      <c r="W30" s="172">
        <f>Monk!Q30*1</f>
        <v>0</v>
      </c>
      <c r="X30" s="173">
        <f>1-(1-Monk!Q30)^1</f>
        <v>0</v>
      </c>
      <c r="Z30" s="202"/>
      <c r="AA30" s="203"/>
      <c r="AB30" s="203"/>
      <c r="AC30" s="181"/>
      <c r="AD30" s="13"/>
    </row>
    <row r="31" ht="15.0" customHeight="1">
      <c r="A31" s="174" t="s">
        <v>791</v>
      </c>
      <c r="B31" s="175">
        <f>Monk!B31*1</f>
        <v>0</v>
      </c>
      <c r="C31" s="176">
        <f>1-(1-Monk!B31)^1</f>
        <v>0</v>
      </c>
      <c r="E31" s="200"/>
      <c r="F31" s="10"/>
      <c r="G31" s="12"/>
      <c r="H31" s="174" t="s">
        <v>710</v>
      </c>
      <c r="I31" s="175">
        <f>Monk!G31*1</f>
        <v>0</v>
      </c>
      <c r="J31" s="176">
        <f>1-(1-Monk!G31)^1</f>
        <v>0</v>
      </c>
      <c r="L31" s="185"/>
      <c r="M31" s="12"/>
      <c r="N31" s="10"/>
      <c r="O31" s="174" t="s">
        <v>711</v>
      </c>
      <c r="P31" s="175">
        <f>Monk!L31*1</f>
        <v>0</v>
      </c>
      <c r="Q31" s="176">
        <f>1-(1-Monk!L31)^1</f>
        <v>0</v>
      </c>
      <c r="S31" s="185"/>
      <c r="T31" s="12"/>
      <c r="U31" s="10"/>
      <c r="V31" s="174" t="s">
        <v>712</v>
      </c>
      <c r="W31" s="175">
        <f>Monk!Q31*1</f>
        <v>0</v>
      </c>
      <c r="X31" s="176">
        <f>1-(1-Monk!Q31)^1</f>
        <v>0</v>
      </c>
      <c r="Z31" s="202"/>
      <c r="AA31" s="203"/>
      <c r="AB31" s="203"/>
      <c r="AC31" s="181"/>
      <c r="AD31" s="13"/>
    </row>
    <row r="32" ht="15.0" customHeight="1">
      <c r="A32" s="177" t="s">
        <v>713</v>
      </c>
      <c r="B32" s="172">
        <f>Monk!B32*1</f>
        <v>0</v>
      </c>
      <c r="C32" s="173">
        <f>1-(1-Monk!B32)^1</f>
        <v>0</v>
      </c>
      <c r="E32" s="200"/>
      <c r="F32" s="10"/>
      <c r="G32" s="12"/>
      <c r="H32" s="177" t="s">
        <v>714</v>
      </c>
      <c r="I32" s="172">
        <f>Monk!G32*1</f>
        <v>0</v>
      </c>
      <c r="J32" s="173">
        <f>1-(1-Monk!G32)^1</f>
        <v>0</v>
      </c>
      <c r="L32" s="185"/>
      <c r="M32" s="12"/>
      <c r="N32" s="10"/>
      <c r="O32" s="177" t="s">
        <v>715</v>
      </c>
      <c r="P32" s="172">
        <f>Monk!L32*1</f>
        <v>0</v>
      </c>
      <c r="Q32" s="173">
        <f>1-(1-Monk!L32)^1</f>
        <v>0</v>
      </c>
      <c r="S32" s="185"/>
      <c r="T32" s="12"/>
      <c r="U32" s="10"/>
      <c r="V32" s="177" t="s">
        <v>716</v>
      </c>
      <c r="W32" s="172">
        <f>Monk!Q32*1</f>
        <v>0</v>
      </c>
      <c r="X32" s="173">
        <f>1-(1-Monk!Q32)^1</f>
        <v>0</v>
      </c>
      <c r="Z32" s="202"/>
      <c r="AA32" s="203"/>
      <c r="AB32" s="203"/>
      <c r="AC32" s="181"/>
      <c r="AD32" s="13"/>
    </row>
    <row r="33" ht="15.0" customHeight="1">
      <c r="A33" s="174" t="s">
        <v>717</v>
      </c>
      <c r="B33" s="175">
        <f>Monk!B33*1</f>
        <v>0</v>
      </c>
      <c r="C33" s="176">
        <f>1-(1-Monk!B33)^1</f>
        <v>0</v>
      </c>
      <c r="E33" s="200"/>
      <c r="F33" s="10"/>
      <c r="G33" s="12"/>
      <c r="H33" s="174" t="s">
        <v>718</v>
      </c>
      <c r="I33" s="175">
        <f>Monk!G33*1</f>
        <v>0</v>
      </c>
      <c r="J33" s="176">
        <f>1-(1-Monk!G33)^1</f>
        <v>0</v>
      </c>
      <c r="L33" s="185"/>
      <c r="M33" s="12"/>
      <c r="N33" s="10"/>
      <c r="O33" s="174" t="s">
        <v>719</v>
      </c>
      <c r="P33" s="175">
        <f>Monk!L33*1</f>
        <v>0</v>
      </c>
      <c r="Q33" s="176">
        <f>1-(1-Monk!L33)^1</f>
        <v>0</v>
      </c>
      <c r="S33" s="185"/>
      <c r="T33" s="12"/>
      <c r="U33" s="10"/>
      <c r="V33" s="174" t="s">
        <v>720</v>
      </c>
      <c r="W33" s="175">
        <f>Monk!Q33*1</f>
        <v>0</v>
      </c>
      <c r="X33" s="176">
        <f>1-(1-Monk!Q33)^1</f>
        <v>0</v>
      </c>
      <c r="Z33" s="202"/>
      <c r="AA33" s="203"/>
      <c r="AB33" s="203"/>
      <c r="AC33" s="181"/>
      <c r="AD33" s="13"/>
    </row>
    <row r="34" ht="15.0" customHeight="1">
      <c r="A34" s="10"/>
      <c r="B34" s="26"/>
      <c r="C34" s="26"/>
      <c r="D34" s="41"/>
      <c r="E34" s="10"/>
      <c r="F34" s="10"/>
      <c r="G34" s="12"/>
      <c r="H34" s="10"/>
      <c r="I34" s="26"/>
      <c r="J34" s="27"/>
      <c r="K34" s="41"/>
      <c r="L34" s="12"/>
      <c r="M34" s="12"/>
      <c r="N34" s="10"/>
      <c r="O34" s="10"/>
      <c r="P34" s="26"/>
      <c r="Q34" s="27"/>
      <c r="R34" s="41"/>
      <c r="S34" s="12"/>
      <c r="T34" s="12"/>
      <c r="U34" s="10"/>
      <c r="V34" s="10"/>
      <c r="W34" s="10"/>
      <c r="X34" s="12"/>
      <c r="Y34" s="51"/>
      <c r="Z34" s="10"/>
      <c r="AA34" s="10"/>
      <c r="AB34" s="10"/>
      <c r="AC34" s="12"/>
      <c r="AD34" s="13"/>
    </row>
    <row r="35" ht="15.75" customHeight="1">
      <c r="A35" s="28"/>
      <c r="B35" s="29" t="s">
        <v>338</v>
      </c>
      <c r="C35" s="57" t="s">
        <v>339</v>
      </c>
      <c r="D35" s="30" t="s">
        <v>721</v>
      </c>
      <c r="E35" s="200"/>
      <c r="F35" s="10"/>
      <c r="G35" s="12"/>
      <c r="H35" s="28"/>
      <c r="I35" s="29" t="s">
        <v>338</v>
      </c>
      <c r="J35" s="57" t="s">
        <v>339</v>
      </c>
      <c r="K35" s="30" t="s">
        <v>722</v>
      </c>
      <c r="L35" s="201"/>
      <c r="M35" s="12"/>
      <c r="N35" s="10"/>
      <c r="O35" s="28"/>
      <c r="P35" s="29" t="s">
        <v>338</v>
      </c>
      <c r="Q35" s="57" t="s">
        <v>339</v>
      </c>
      <c r="R35" s="30" t="s">
        <v>723</v>
      </c>
      <c r="S35" s="201"/>
      <c r="T35" s="12"/>
      <c r="U35" s="10"/>
      <c r="V35" s="10"/>
      <c r="W35" s="10"/>
      <c r="X35" s="12"/>
      <c r="Y35" s="10"/>
      <c r="Z35" s="10"/>
      <c r="AA35" s="10"/>
      <c r="AB35" s="10"/>
      <c r="AC35" s="12"/>
      <c r="AD35" s="13"/>
    </row>
    <row r="36" ht="17.25" customHeight="1">
      <c r="A36" s="167" t="s">
        <v>18</v>
      </c>
      <c r="B36" s="168">
        <f t="shared" ref="B36:C36" si="12">AVERAGE(B37:B42)</f>
        <v>0.25</v>
      </c>
      <c r="C36" s="169">
        <f t="shared" si="12"/>
        <v>0.2434067128</v>
      </c>
      <c r="E36" s="200"/>
      <c r="F36" s="10"/>
      <c r="G36" s="12"/>
      <c r="H36" s="167" t="s">
        <v>18</v>
      </c>
      <c r="I36" s="168">
        <f t="shared" ref="I36:J36" si="13">AVERAGE(I37:I42)</f>
        <v>1</v>
      </c>
      <c r="J36" s="169">
        <f t="shared" si="13"/>
        <v>1</v>
      </c>
      <c r="L36" s="182"/>
      <c r="M36" s="12"/>
      <c r="N36" s="10"/>
      <c r="O36" s="167" t="s">
        <v>18</v>
      </c>
      <c r="P36" s="168">
        <f t="shared" ref="P36:Q36" si="14">AVERAGE(P37:P42)</f>
        <v>0</v>
      </c>
      <c r="Q36" s="169">
        <f t="shared" si="14"/>
        <v>0</v>
      </c>
      <c r="S36" s="182"/>
      <c r="T36" s="12"/>
      <c r="U36" s="10"/>
      <c r="V36" s="10"/>
      <c r="W36" s="10"/>
      <c r="X36" s="12"/>
      <c r="Y36" s="10"/>
      <c r="Z36" s="10"/>
      <c r="AA36" s="10"/>
      <c r="AB36" s="10"/>
      <c r="AC36" s="12"/>
      <c r="AD36" s="13"/>
    </row>
    <row r="37" ht="15.0" customHeight="1">
      <c r="A37" s="171" t="s">
        <v>19</v>
      </c>
      <c r="B37" s="172">
        <f>Monk!B37*1*(75/60)</f>
        <v>0.25</v>
      </c>
      <c r="C37" s="173">
        <f>1-(1-Monk!B37)^(75/60)</f>
        <v>0.2434067128</v>
      </c>
      <c r="E37" s="200"/>
      <c r="F37" s="10"/>
      <c r="G37" s="12"/>
      <c r="H37" s="171" t="s">
        <v>19</v>
      </c>
      <c r="I37" s="172">
        <f>Monk!G37*1</f>
        <v>1</v>
      </c>
      <c r="J37" s="173">
        <f>1-(1-Monk!G37)^1</f>
        <v>1</v>
      </c>
      <c r="L37" s="185"/>
      <c r="M37" s="12"/>
      <c r="N37" s="10"/>
      <c r="O37" s="171" t="s">
        <v>19</v>
      </c>
      <c r="P37" s="172">
        <f>Monk!L37*1</f>
        <v>0</v>
      </c>
      <c r="Q37" s="173">
        <f>1-(1-Monk!L37)^1</f>
        <v>0</v>
      </c>
      <c r="S37" s="185"/>
      <c r="T37" s="12"/>
      <c r="U37" s="10"/>
      <c r="V37" s="10"/>
      <c r="W37" s="10"/>
      <c r="X37" s="12"/>
      <c r="Y37" s="10"/>
      <c r="Z37" s="10"/>
      <c r="AA37" s="10"/>
      <c r="AB37" s="10"/>
      <c r="AC37" s="12"/>
      <c r="AD37" s="13"/>
    </row>
    <row r="38" ht="15.0" customHeight="1">
      <c r="A38" s="174" t="s">
        <v>724</v>
      </c>
      <c r="B38" s="175">
        <f>Monk!B38*1*(75/60)</f>
        <v>0.25</v>
      </c>
      <c r="C38" s="176">
        <f>1-(1-Monk!B38)^(75/60)</f>
        <v>0.2434067128</v>
      </c>
      <c r="E38" s="200"/>
      <c r="F38" s="10"/>
      <c r="G38" s="12"/>
      <c r="H38" s="174" t="s">
        <v>725</v>
      </c>
      <c r="I38" s="175">
        <f>Monk!G38*1</f>
        <v>1</v>
      </c>
      <c r="J38" s="176">
        <f>1-(1-Monk!G38)^1</f>
        <v>1</v>
      </c>
      <c r="L38" s="185"/>
      <c r="M38" s="12"/>
      <c r="N38" s="10"/>
      <c r="O38" s="174" t="s">
        <v>726</v>
      </c>
      <c r="P38" s="175">
        <f>Monk!L38*1</f>
        <v>0</v>
      </c>
      <c r="Q38" s="176">
        <f>1-(1-Monk!L38)^1</f>
        <v>0</v>
      </c>
      <c r="S38" s="185"/>
      <c r="T38" s="12"/>
      <c r="U38" s="10"/>
      <c r="V38" s="10"/>
      <c r="W38" s="10"/>
      <c r="X38" s="12"/>
      <c r="Y38" s="10"/>
      <c r="Z38" s="10"/>
      <c r="AA38" s="10"/>
      <c r="AB38" s="10"/>
      <c r="AC38" s="12"/>
      <c r="AD38" s="13"/>
    </row>
    <row r="39" ht="15.0" customHeight="1">
      <c r="A39" s="177" t="s">
        <v>727</v>
      </c>
      <c r="B39" s="172">
        <f>Monk!B39*1*(75/60)</f>
        <v>0.25</v>
      </c>
      <c r="C39" s="173">
        <f>1-(1-Monk!B39)^(75/60)</f>
        <v>0.2434067128</v>
      </c>
      <c r="E39" s="200"/>
      <c r="F39" s="10"/>
      <c r="G39" s="12"/>
      <c r="H39" s="177" t="s">
        <v>728</v>
      </c>
      <c r="I39" s="172">
        <f>Monk!G39*1</f>
        <v>1</v>
      </c>
      <c r="J39" s="173">
        <f>1-(1-Monk!G39)^1</f>
        <v>1</v>
      </c>
      <c r="L39" s="185"/>
      <c r="M39" s="12"/>
      <c r="N39" s="10"/>
      <c r="O39" s="177" t="s">
        <v>729</v>
      </c>
      <c r="P39" s="172">
        <f>Monk!L39*1</f>
        <v>0</v>
      </c>
      <c r="Q39" s="173">
        <f>1-(1-Monk!L39)^1</f>
        <v>0</v>
      </c>
      <c r="S39" s="185"/>
      <c r="T39" s="12"/>
      <c r="U39" s="10"/>
      <c r="V39" s="10"/>
      <c r="W39" s="10"/>
      <c r="X39" s="12"/>
      <c r="Y39" s="10"/>
      <c r="Z39" s="10"/>
      <c r="AA39" s="10"/>
      <c r="AB39" s="10"/>
      <c r="AC39" s="12"/>
      <c r="AD39" s="13"/>
    </row>
    <row r="40" ht="15.0" customHeight="1">
      <c r="A40" s="174" t="s">
        <v>730</v>
      </c>
      <c r="B40" s="175">
        <f>Monk!B40*1*(75/60)</f>
        <v>0.25</v>
      </c>
      <c r="C40" s="176">
        <f>1-(1-Monk!B40)^(75/60)</f>
        <v>0.2434067128</v>
      </c>
      <c r="E40" s="200"/>
      <c r="F40" s="10"/>
      <c r="G40" s="12"/>
      <c r="H40" s="174" t="s">
        <v>731</v>
      </c>
      <c r="I40" s="175">
        <f>Monk!G40*1</f>
        <v>1</v>
      </c>
      <c r="J40" s="176">
        <f>1-(1-Monk!G40)^1</f>
        <v>1</v>
      </c>
      <c r="L40" s="185"/>
      <c r="M40" s="12"/>
      <c r="N40" s="10"/>
      <c r="O40" s="174" t="s">
        <v>732</v>
      </c>
      <c r="P40" s="175">
        <f>Monk!L40*1</f>
        <v>0</v>
      </c>
      <c r="Q40" s="176">
        <f>1-(1-Monk!L40)^1</f>
        <v>0</v>
      </c>
      <c r="S40" s="185"/>
      <c r="T40" s="12"/>
      <c r="U40" s="10"/>
      <c r="V40" s="10"/>
      <c r="W40" s="10"/>
      <c r="X40" s="12"/>
      <c r="Y40" s="10"/>
      <c r="Z40" s="10"/>
      <c r="AA40" s="10"/>
      <c r="AB40" s="10"/>
      <c r="AC40" s="12"/>
      <c r="AD40" s="13"/>
    </row>
    <row r="41" ht="15.0" customHeight="1">
      <c r="A41" s="177" t="s">
        <v>733</v>
      </c>
      <c r="B41" s="172">
        <f>Monk!B41*1*(75/60)</f>
        <v>0.25</v>
      </c>
      <c r="C41" s="173">
        <f>1-(1-Monk!B41)^(75/60)</f>
        <v>0.2434067128</v>
      </c>
      <c r="E41" s="200"/>
      <c r="F41" s="10"/>
      <c r="G41" s="12"/>
      <c r="H41" s="177" t="s">
        <v>734</v>
      </c>
      <c r="I41" s="172">
        <f>Monk!G41*1</f>
        <v>1</v>
      </c>
      <c r="J41" s="173">
        <f>1-(1-Monk!G41)^1</f>
        <v>1</v>
      </c>
      <c r="L41" s="185"/>
      <c r="M41" s="12"/>
      <c r="N41" s="10"/>
      <c r="O41" s="177" t="s">
        <v>735</v>
      </c>
      <c r="P41" s="172">
        <f>Monk!L41*1</f>
        <v>0</v>
      </c>
      <c r="Q41" s="173">
        <f>1-(1-Monk!L41)^1</f>
        <v>0</v>
      </c>
      <c r="S41" s="185"/>
      <c r="T41" s="12"/>
      <c r="U41" s="10"/>
      <c r="V41" s="10"/>
      <c r="W41" s="10"/>
      <c r="X41" s="12"/>
      <c r="Y41" s="10"/>
      <c r="Z41" s="10"/>
      <c r="AA41" s="10"/>
      <c r="AB41" s="10"/>
      <c r="AC41" s="12"/>
      <c r="AD41" s="13"/>
    </row>
    <row r="42" ht="15.0" customHeight="1">
      <c r="A42" s="174" t="s">
        <v>736</v>
      </c>
      <c r="B42" s="175">
        <f>Monk!B42*1*(75/60)</f>
        <v>0.25</v>
      </c>
      <c r="C42" s="176">
        <f>1-(1-Monk!B42)^(75/60)</f>
        <v>0.2434067128</v>
      </c>
      <c r="E42" s="200"/>
      <c r="F42" s="10"/>
      <c r="G42" s="12"/>
      <c r="H42" s="174" t="s">
        <v>737</v>
      </c>
      <c r="I42" s="175">
        <f>Monk!G42*1</f>
        <v>1</v>
      </c>
      <c r="J42" s="176">
        <f>1-(1-Monk!G42)^1</f>
        <v>1</v>
      </c>
      <c r="L42" s="185"/>
      <c r="M42" s="12"/>
      <c r="N42" s="10"/>
      <c r="O42" s="174" t="s">
        <v>738</v>
      </c>
      <c r="P42" s="175">
        <f>Monk!L42*1</f>
        <v>0</v>
      </c>
      <c r="Q42" s="176">
        <f>1-(1-Monk!L42)^1</f>
        <v>0</v>
      </c>
      <c r="S42" s="185"/>
      <c r="T42" s="12"/>
      <c r="U42" s="10"/>
      <c r="V42" s="10"/>
      <c r="W42" s="10"/>
      <c r="X42" s="12"/>
      <c r="Y42" s="10"/>
      <c r="Z42" s="10"/>
      <c r="AA42" s="10"/>
      <c r="AB42" s="10"/>
      <c r="AC42" s="12"/>
      <c r="AD42" s="13"/>
    </row>
    <row r="43" ht="15.0" customHeight="1">
      <c r="A43" s="10"/>
      <c r="B43" s="26"/>
      <c r="C43" s="26"/>
      <c r="D43" s="41"/>
      <c r="E43" s="10"/>
      <c r="F43" s="10"/>
      <c r="G43" s="12"/>
      <c r="H43" s="10"/>
      <c r="I43" s="26"/>
      <c r="J43" s="27"/>
      <c r="K43" s="41"/>
      <c r="L43" s="12"/>
      <c r="M43" s="12"/>
      <c r="N43" s="10"/>
      <c r="O43" s="10"/>
      <c r="P43" s="26"/>
      <c r="Q43" s="27"/>
      <c r="R43" s="41"/>
      <c r="S43" s="12"/>
      <c r="T43" s="12"/>
      <c r="U43" s="10"/>
      <c r="V43" s="10"/>
      <c r="W43" s="26"/>
      <c r="X43" s="27"/>
      <c r="Y43" s="26"/>
      <c r="Z43" s="10"/>
      <c r="AA43" s="10"/>
      <c r="AB43" s="10"/>
      <c r="AC43" s="12"/>
      <c r="AD43" s="13"/>
    </row>
    <row r="44" ht="15.75" customHeight="1">
      <c r="A44" s="28"/>
      <c r="B44" s="188" t="s">
        <v>338</v>
      </c>
      <c r="C44" s="112" t="s">
        <v>339</v>
      </c>
      <c r="D44" s="30" t="s">
        <v>739</v>
      </c>
      <c r="E44" s="200"/>
      <c r="F44" s="10"/>
      <c r="G44" s="12"/>
      <c r="H44" s="28"/>
      <c r="I44" s="29" t="s">
        <v>338</v>
      </c>
      <c r="J44" s="57" t="s">
        <v>339</v>
      </c>
      <c r="K44" s="30" t="s">
        <v>740</v>
      </c>
      <c r="L44" s="201"/>
      <c r="M44" s="12"/>
      <c r="N44" s="10"/>
      <c r="O44" s="28"/>
      <c r="P44" s="29" t="s">
        <v>338</v>
      </c>
      <c r="Q44" s="57" t="s">
        <v>339</v>
      </c>
      <c r="R44" s="30" t="s">
        <v>741</v>
      </c>
      <c r="S44" s="201"/>
      <c r="T44" s="12"/>
      <c r="U44" s="10"/>
      <c r="V44" s="28"/>
      <c r="W44" s="29" t="s">
        <v>338</v>
      </c>
      <c r="X44" s="57" t="s">
        <v>339</v>
      </c>
      <c r="Y44" s="30" t="s">
        <v>742</v>
      </c>
      <c r="Z44" s="31"/>
      <c r="AA44" s="10"/>
      <c r="AB44" s="10"/>
      <c r="AC44" s="12"/>
      <c r="AD44" s="13"/>
    </row>
    <row r="45" ht="17.25" customHeight="1">
      <c r="A45" s="167" t="s">
        <v>18</v>
      </c>
      <c r="B45" s="205">
        <f t="shared" ref="B45:C45" si="15">AVERAGE(B46:B51)</f>
        <v>0.15625</v>
      </c>
      <c r="C45" s="170">
        <f t="shared" si="15"/>
        <v>0.1537278161</v>
      </c>
      <c r="E45" s="200"/>
      <c r="F45" s="10"/>
      <c r="G45" s="12"/>
      <c r="H45" s="167" t="s">
        <v>18</v>
      </c>
      <c r="I45" s="168">
        <f t="shared" ref="I45:J45" si="16">AVERAGE(I46:I51)</f>
        <v>0.4492753623</v>
      </c>
      <c r="J45" s="169">
        <f t="shared" si="16"/>
        <v>0.3821579723</v>
      </c>
      <c r="L45" s="182"/>
      <c r="M45" s="12"/>
      <c r="N45" s="10"/>
      <c r="O45" s="167" t="s">
        <v>18</v>
      </c>
      <c r="P45" s="168">
        <f t="shared" ref="P45:Q45" si="17">AVERAGE(P46:P51)</f>
        <v>0</v>
      </c>
      <c r="Q45" s="169">
        <f t="shared" si="17"/>
        <v>0</v>
      </c>
      <c r="S45" s="182"/>
      <c r="T45" s="12"/>
      <c r="U45" s="10"/>
      <c r="V45" s="167" t="s">
        <v>18</v>
      </c>
      <c r="W45" s="168">
        <f t="shared" ref="W45:X45" si="18">AVERAGE(W46:W51)</f>
        <v>0</v>
      </c>
      <c r="X45" s="169">
        <f t="shared" si="18"/>
        <v>0</v>
      </c>
      <c r="Z45" s="31"/>
      <c r="AA45" s="10"/>
      <c r="AB45" s="10"/>
      <c r="AC45" s="12"/>
      <c r="AD45" s="13"/>
    </row>
    <row r="46" ht="15.0" customHeight="1">
      <c r="A46" s="171" t="s">
        <v>19</v>
      </c>
      <c r="B46" s="172">
        <f>Monk!B46*1*(75/60)</f>
        <v>0.15625</v>
      </c>
      <c r="C46" s="173">
        <f>1-(1-Monk!B46)^(75/60)</f>
        <v>0.1537278161</v>
      </c>
      <c r="E46" s="200"/>
      <c r="F46" s="10"/>
      <c r="G46" s="12"/>
      <c r="H46" s="171" t="s">
        <v>19</v>
      </c>
      <c r="I46" s="172">
        <f>Monk!G46*3</f>
        <v>0.5217391304</v>
      </c>
      <c r="J46" s="173">
        <f>1-(1-Monk!G46)^3</f>
        <v>0.4362620202</v>
      </c>
      <c r="L46" s="185"/>
      <c r="M46" s="12"/>
      <c r="N46" s="10"/>
      <c r="O46" s="171" t="s">
        <v>19</v>
      </c>
      <c r="P46" s="172">
        <f>Monk!L46*1</f>
        <v>0</v>
      </c>
      <c r="Q46" s="173">
        <f>1-(1-Monk!L46)^1</f>
        <v>0</v>
      </c>
      <c r="S46" s="185"/>
      <c r="T46" s="12"/>
      <c r="U46" s="10"/>
      <c r="V46" s="171" t="s">
        <v>19</v>
      </c>
      <c r="W46" s="172">
        <f>Monk!Q46*1</f>
        <v>0</v>
      </c>
      <c r="X46" s="173">
        <f>1-(1-Monk!Q46)^1</f>
        <v>0</v>
      </c>
      <c r="Z46" s="31"/>
      <c r="AA46" s="10"/>
      <c r="AB46" s="10"/>
      <c r="AC46" s="12"/>
      <c r="AD46" s="13"/>
    </row>
    <row r="47" ht="15.0" customHeight="1">
      <c r="A47" s="174" t="s">
        <v>743</v>
      </c>
      <c r="B47" s="175">
        <f>Monk!B47*1*(75/60)</f>
        <v>0.15625</v>
      </c>
      <c r="C47" s="176">
        <f>1-(1-Monk!B47)^(75/60)</f>
        <v>0.1537278161</v>
      </c>
      <c r="E47" s="200"/>
      <c r="F47" s="10"/>
      <c r="G47" s="12"/>
      <c r="H47" s="174" t="s">
        <v>744</v>
      </c>
      <c r="I47" s="175">
        <f>Monk!G47*3</f>
        <v>0.5217391304</v>
      </c>
      <c r="J47" s="176">
        <f>1-(1-Monk!G47)^3</f>
        <v>0.4362620202</v>
      </c>
      <c r="L47" s="185"/>
      <c r="M47" s="12"/>
      <c r="N47" s="10"/>
      <c r="O47" s="174" t="s">
        <v>745</v>
      </c>
      <c r="P47" s="175">
        <f>Monk!L47*1</f>
        <v>0</v>
      </c>
      <c r="Q47" s="176">
        <f>1-(1-Monk!L47)^1</f>
        <v>0</v>
      </c>
      <c r="S47" s="185"/>
      <c r="T47" s="12"/>
      <c r="U47" s="10"/>
      <c r="V47" s="174" t="s">
        <v>746</v>
      </c>
      <c r="W47" s="175">
        <f>Monk!Q47*1</f>
        <v>0</v>
      </c>
      <c r="X47" s="176">
        <f>1-(1-Monk!Q47)^1</f>
        <v>0</v>
      </c>
      <c r="Z47" s="31"/>
      <c r="AA47" s="10"/>
      <c r="AB47" s="10"/>
      <c r="AC47" s="181"/>
      <c r="AD47" s="13"/>
    </row>
    <row r="48" ht="15.0" customHeight="1">
      <c r="A48" s="177" t="s">
        <v>747</v>
      </c>
      <c r="B48" s="172">
        <f>Monk!B48*1*(75/60)</f>
        <v>0.15625</v>
      </c>
      <c r="C48" s="173">
        <f>1-(1-Monk!B48)^(75/60)</f>
        <v>0.1537278161</v>
      </c>
      <c r="E48" s="200"/>
      <c r="F48" s="10"/>
      <c r="G48" s="12"/>
      <c r="H48" s="177" t="s">
        <v>748</v>
      </c>
      <c r="I48" s="172">
        <f>Monk!G48*3</f>
        <v>0.2608695652</v>
      </c>
      <c r="J48" s="173">
        <f>1-(1-Monk!G48)^3</f>
        <v>0.2388427714</v>
      </c>
      <c r="L48" s="185"/>
      <c r="M48" s="12"/>
      <c r="N48" s="10"/>
      <c r="O48" s="177" t="s">
        <v>749</v>
      </c>
      <c r="P48" s="172">
        <f>Monk!L48*1</f>
        <v>0</v>
      </c>
      <c r="Q48" s="173">
        <f>1-(1-Monk!L48)^1</f>
        <v>0</v>
      </c>
      <c r="S48" s="185"/>
      <c r="T48" s="12"/>
      <c r="U48" s="10"/>
      <c r="V48" s="177" t="s">
        <v>750</v>
      </c>
      <c r="W48" s="172">
        <f>Monk!Q48*1</f>
        <v>0</v>
      </c>
      <c r="X48" s="173">
        <f>1-(1-Monk!Q48)^1</f>
        <v>0</v>
      </c>
      <c r="Z48" s="31"/>
      <c r="AA48" s="10"/>
      <c r="AB48" s="10"/>
      <c r="AC48" s="181"/>
      <c r="AD48" s="13"/>
    </row>
    <row r="49" ht="15.0" customHeight="1">
      <c r="A49" s="174" t="s">
        <v>751</v>
      </c>
      <c r="B49" s="175">
        <f>Monk!B49*1*(75/60)</f>
        <v>0.15625</v>
      </c>
      <c r="C49" s="176">
        <f>1-(1-Monk!B49)^(75/60)</f>
        <v>0.1537278161</v>
      </c>
      <c r="E49" s="200"/>
      <c r="F49" s="10"/>
      <c r="G49" s="12"/>
      <c r="H49" s="174" t="s">
        <v>752</v>
      </c>
      <c r="I49" s="175">
        <f>Monk!G49*3</f>
        <v>0.5217391304</v>
      </c>
      <c r="J49" s="176">
        <f>1-(1-Monk!G49)^3</f>
        <v>0.4362620202</v>
      </c>
      <c r="L49" s="185"/>
      <c r="M49" s="12"/>
      <c r="N49" s="10"/>
      <c r="O49" s="174" t="s">
        <v>753</v>
      </c>
      <c r="P49" s="175">
        <f>Monk!L49*1</f>
        <v>0</v>
      </c>
      <c r="Q49" s="176">
        <f>1-(1-Monk!L49)^1</f>
        <v>0</v>
      </c>
      <c r="S49" s="185"/>
      <c r="T49" s="12"/>
      <c r="U49" s="10"/>
      <c r="V49" s="174" t="s">
        <v>754</v>
      </c>
      <c r="W49" s="175">
        <f>Monk!Q49*1</f>
        <v>0</v>
      </c>
      <c r="X49" s="176">
        <f>1-(1-Monk!Q49)^1</f>
        <v>0</v>
      </c>
      <c r="Z49" s="31"/>
      <c r="AA49" s="10"/>
      <c r="AB49" s="10"/>
      <c r="AC49" s="181"/>
      <c r="AD49" s="13"/>
    </row>
    <row r="50" ht="15.0" customHeight="1">
      <c r="A50" s="177" t="s">
        <v>755</v>
      </c>
      <c r="B50" s="172">
        <f>Monk!B50*1*(75/60)</f>
        <v>0.15625</v>
      </c>
      <c r="C50" s="173">
        <f>1-(1-Monk!B50)^(75/60)</f>
        <v>0.1537278161</v>
      </c>
      <c r="E50" s="200"/>
      <c r="F50" s="10"/>
      <c r="G50" s="12"/>
      <c r="H50" s="177" t="s">
        <v>756</v>
      </c>
      <c r="I50" s="172">
        <f>Monk!G50*3</f>
        <v>0.5217391304</v>
      </c>
      <c r="J50" s="173">
        <f>1-(1-Monk!G50)^3</f>
        <v>0.4362620202</v>
      </c>
      <c r="L50" s="185"/>
      <c r="M50" s="12"/>
      <c r="N50" s="10"/>
      <c r="O50" s="177" t="s">
        <v>757</v>
      </c>
      <c r="P50" s="172">
        <f>Monk!L50*1</f>
        <v>0</v>
      </c>
      <c r="Q50" s="173">
        <f>1-(1-Monk!L50)^1</f>
        <v>0</v>
      </c>
      <c r="S50" s="185"/>
      <c r="T50" s="12"/>
      <c r="U50" s="10"/>
      <c r="V50" s="177" t="s">
        <v>758</v>
      </c>
      <c r="W50" s="172">
        <f>Monk!Q50*1</f>
        <v>0</v>
      </c>
      <c r="X50" s="173">
        <f>1-(1-Monk!Q50)^1</f>
        <v>0</v>
      </c>
      <c r="Z50" s="31"/>
      <c r="AA50" s="10"/>
      <c r="AB50" s="10"/>
      <c r="AC50" s="181"/>
      <c r="AD50" s="13"/>
    </row>
    <row r="51" ht="15.0" customHeight="1">
      <c r="A51" s="174" t="s">
        <v>759</v>
      </c>
      <c r="B51" s="175">
        <f>Monk!B51*1*(75/60)</f>
        <v>0.15625</v>
      </c>
      <c r="C51" s="176">
        <f>1-(1-Monk!B51)^(75/60)</f>
        <v>0.1537278161</v>
      </c>
      <c r="E51" s="200"/>
      <c r="F51" s="10"/>
      <c r="G51" s="12"/>
      <c r="H51" s="174" t="s">
        <v>760</v>
      </c>
      <c r="I51" s="175">
        <f>Monk!G51*3</f>
        <v>0.347826087</v>
      </c>
      <c r="J51" s="176">
        <f>1-(1-Monk!G51)^3</f>
        <v>0.3090569817</v>
      </c>
      <c r="L51" s="185"/>
      <c r="M51" s="12"/>
      <c r="N51" s="10"/>
      <c r="O51" s="174" t="s">
        <v>761</v>
      </c>
      <c r="P51" s="175">
        <f>Monk!L51*1</f>
        <v>0</v>
      </c>
      <c r="Q51" s="176">
        <f>1-(1-Monk!L51)^1</f>
        <v>0</v>
      </c>
      <c r="S51" s="185"/>
      <c r="T51" s="12"/>
      <c r="U51" s="10"/>
      <c r="V51" s="174" t="s">
        <v>762</v>
      </c>
      <c r="W51" s="175">
        <f>Monk!Q51*1</f>
        <v>0</v>
      </c>
      <c r="X51" s="176">
        <f>1-(1-Monk!Q51)^1</f>
        <v>0</v>
      </c>
      <c r="Z51" s="31"/>
      <c r="AA51" s="10"/>
      <c r="AB51" s="10"/>
      <c r="AC51" s="181"/>
      <c r="AD51" s="13"/>
    </row>
    <row r="52" ht="15.0" customHeight="1">
      <c r="A52" s="10"/>
      <c r="B52" s="26"/>
      <c r="C52" s="26"/>
      <c r="D52" s="41"/>
      <c r="E52" s="10"/>
      <c r="F52" s="10"/>
      <c r="G52" s="12"/>
      <c r="H52" s="10"/>
      <c r="I52" s="26"/>
      <c r="J52" s="27"/>
      <c r="K52" s="41"/>
      <c r="L52" s="12"/>
      <c r="M52" s="12"/>
      <c r="N52" s="10"/>
      <c r="O52" s="10"/>
      <c r="P52" s="26"/>
      <c r="Q52" s="27"/>
      <c r="R52" s="41"/>
      <c r="S52" s="12"/>
      <c r="T52" s="12"/>
      <c r="U52" s="10"/>
      <c r="V52" s="10"/>
      <c r="W52" s="26"/>
      <c r="X52" s="27"/>
      <c r="Y52" s="41"/>
      <c r="Z52" s="10"/>
      <c r="AA52" s="10"/>
      <c r="AB52" s="10"/>
      <c r="AC52" s="181"/>
      <c r="AD52" s="13"/>
    </row>
    <row r="53" ht="15.75" customHeight="1">
      <c r="A53" s="28"/>
      <c r="B53" s="29" t="s">
        <v>338</v>
      </c>
      <c r="C53" s="57" t="s">
        <v>339</v>
      </c>
      <c r="D53" s="30" t="s">
        <v>763</v>
      </c>
      <c r="E53" s="200"/>
      <c r="F53" s="10"/>
      <c r="G53" s="12"/>
      <c r="H53" s="28"/>
      <c r="I53" s="29" t="s">
        <v>338</v>
      </c>
      <c r="J53" s="57" t="s">
        <v>339</v>
      </c>
      <c r="K53" s="30" t="s">
        <v>764</v>
      </c>
      <c r="L53" s="201"/>
      <c r="M53" s="12"/>
      <c r="N53" s="10"/>
      <c r="O53" s="28"/>
      <c r="P53" s="29" t="s">
        <v>338</v>
      </c>
      <c r="Q53" s="57" t="s">
        <v>339</v>
      </c>
      <c r="R53" s="30" t="s">
        <v>765</v>
      </c>
      <c r="S53" s="201"/>
      <c r="T53" s="12"/>
      <c r="U53" s="10"/>
      <c r="V53" s="28"/>
      <c r="W53" s="29" t="s">
        <v>338</v>
      </c>
      <c r="X53" s="57" t="s">
        <v>339</v>
      </c>
      <c r="Y53" s="43" t="s">
        <v>766</v>
      </c>
      <c r="Z53" s="202"/>
      <c r="AA53" s="203"/>
      <c r="AB53" s="203"/>
      <c r="AC53" s="181"/>
      <c r="AD53" s="13"/>
    </row>
    <row r="54" ht="17.25" customHeight="1">
      <c r="A54" s="167" t="s">
        <v>18</v>
      </c>
      <c r="B54" s="168">
        <f t="shared" ref="B54:C54" si="19">AVERAGE(B55:B60)</f>
        <v>0</v>
      </c>
      <c r="C54" s="169">
        <f t="shared" si="19"/>
        <v>0</v>
      </c>
      <c r="E54" s="200"/>
      <c r="F54" s="10"/>
      <c r="G54" s="12"/>
      <c r="H54" s="167" t="s">
        <v>18</v>
      </c>
      <c r="I54" s="168">
        <f t="shared" ref="I54:J54" si="20">AVERAGE(I55:I60)</f>
        <v>0</v>
      </c>
      <c r="J54" s="169">
        <f t="shared" si="20"/>
        <v>0</v>
      </c>
      <c r="L54" s="182"/>
      <c r="M54" s="12"/>
      <c r="N54" s="10"/>
      <c r="O54" s="167" t="s">
        <v>18</v>
      </c>
      <c r="P54" s="168">
        <f t="shared" ref="P54:Q54" si="21">AVERAGE(P55:P60)</f>
        <v>0</v>
      </c>
      <c r="Q54" s="169">
        <f t="shared" si="21"/>
        <v>0</v>
      </c>
      <c r="S54" s="182"/>
      <c r="T54" s="12"/>
      <c r="U54" s="10"/>
      <c r="V54" s="167" t="s">
        <v>18</v>
      </c>
      <c r="W54" s="168">
        <f t="shared" ref="W54:X54" si="22">AVERAGE(W55:W60)</f>
        <v>0</v>
      </c>
      <c r="X54" s="169">
        <f t="shared" si="22"/>
        <v>0</v>
      </c>
      <c r="Z54" s="202"/>
      <c r="AA54" s="203"/>
      <c r="AB54" s="203"/>
      <c r="AC54" s="181"/>
      <c r="AD54" s="13"/>
    </row>
    <row r="55" ht="15.0" customHeight="1">
      <c r="A55" s="171" t="s">
        <v>19</v>
      </c>
      <c r="B55" s="172">
        <f>Monk!B55*1</f>
        <v>0</v>
      </c>
      <c r="C55" s="173">
        <f>1-(1-Monk!B55)^1</f>
        <v>0</v>
      </c>
      <c r="E55" s="200"/>
      <c r="F55" s="10"/>
      <c r="G55" s="12"/>
      <c r="H55" s="171" t="s">
        <v>19</v>
      </c>
      <c r="I55" s="172">
        <f>Monk!G55*1</f>
        <v>0</v>
      </c>
      <c r="J55" s="173">
        <f>1-(1-Monk!G55)^1</f>
        <v>0</v>
      </c>
      <c r="L55" s="185"/>
      <c r="M55" s="12"/>
      <c r="N55" s="10"/>
      <c r="O55" s="171" t="s">
        <v>19</v>
      </c>
      <c r="P55" s="172">
        <f>Monk!L55*1</f>
        <v>0</v>
      </c>
      <c r="Q55" s="173">
        <f>1-(1-Monk!L55)^1</f>
        <v>0</v>
      </c>
      <c r="S55" s="185"/>
      <c r="T55" s="12"/>
      <c r="U55" s="10"/>
      <c r="V55" s="171" t="s">
        <v>19</v>
      </c>
      <c r="W55" s="172">
        <f>Monk!Q55*1</f>
        <v>0</v>
      </c>
      <c r="X55" s="173">
        <f>1-(1-Monk!Q55)^1</f>
        <v>0</v>
      </c>
      <c r="Z55" s="202"/>
      <c r="AA55" s="203"/>
      <c r="AB55" s="203"/>
      <c r="AC55" s="181"/>
      <c r="AD55" s="13"/>
    </row>
    <row r="56" ht="15.0" customHeight="1">
      <c r="A56" s="174" t="s">
        <v>767</v>
      </c>
      <c r="B56" s="175">
        <f>Monk!B56*1</f>
        <v>0</v>
      </c>
      <c r="C56" s="176">
        <f>1-(1-Monk!B56)^1</f>
        <v>0</v>
      </c>
      <c r="E56" s="200"/>
      <c r="F56" s="10"/>
      <c r="G56" s="12"/>
      <c r="H56" s="174" t="s">
        <v>768</v>
      </c>
      <c r="I56" s="175">
        <f>Monk!G56*1</f>
        <v>0</v>
      </c>
      <c r="J56" s="176">
        <f>1-(1-Monk!G56)^1</f>
        <v>0</v>
      </c>
      <c r="L56" s="185"/>
      <c r="M56" s="12"/>
      <c r="N56" s="10"/>
      <c r="O56" s="174" t="s">
        <v>769</v>
      </c>
      <c r="P56" s="175">
        <f>Monk!L56*1</f>
        <v>0</v>
      </c>
      <c r="Q56" s="176">
        <f>1-(1-Monk!L56)^1</f>
        <v>0</v>
      </c>
      <c r="S56" s="185"/>
      <c r="T56" s="12"/>
      <c r="U56" s="10"/>
      <c r="V56" s="174" t="s">
        <v>770</v>
      </c>
      <c r="W56" s="175">
        <f>Monk!Q56*1</f>
        <v>0</v>
      </c>
      <c r="X56" s="176">
        <f>1-(1-Monk!Q56)^1</f>
        <v>0</v>
      </c>
      <c r="Z56" s="202"/>
      <c r="AA56" s="203"/>
      <c r="AB56" s="203"/>
      <c r="AC56" s="181"/>
      <c r="AD56" s="13"/>
    </row>
    <row r="57" ht="15.0" customHeight="1">
      <c r="A57" s="177" t="s">
        <v>771</v>
      </c>
      <c r="B57" s="172">
        <f>Monk!B57*1</f>
        <v>0</v>
      </c>
      <c r="C57" s="173">
        <f>1-(1-Monk!B57)^1</f>
        <v>0</v>
      </c>
      <c r="E57" s="200"/>
      <c r="F57" s="10"/>
      <c r="G57" s="12"/>
      <c r="H57" s="177" t="s">
        <v>772</v>
      </c>
      <c r="I57" s="172">
        <f>Monk!G57*1</f>
        <v>0</v>
      </c>
      <c r="J57" s="173">
        <f>1-(1-Monk!G57)^1</f>
        <v>0</v>
      </c>
      <c r="L57" s="185"/>
      <c r="M57" s="12"/>
      <c r="N57" s="10"/>
      <c r="O57" s="177" t="s">
        <v>773</v>
      </c>
      <c r="P57" s="172">
        <f>Monk!L57*1</f>
        <v>0</v>
      </c>
      <c r="Q57" s="173">
        <f>1-(1-Monk!L57)^1</f>
        <v>0</v>
      </c>
      <c r="S57" s="185"/>
      <c r="T57" s="12"/>
      <c r="U57" s="10"/>
      <c r="V57" s="177" t="s">
        <v>774</v>
      </c>
      <c r="W57" s="172">
        <f>Monk!Q57*1</f>
        <v>0</v>
      </c>
      <c r="X57" s="173">
        <f>1-(1-Monk!Q57)^1</f>
        <v>0</v>
      </c>
      <c r="Z57" s="202"/>
      <c r="AA57" s="203"/>
      <c r="AB57" s="203"/>
      <c r="AC57" s="181"/>
      <c r="AD57" s="13"/>
    </row>
    <row r="58" ht="15.0" customHeight="1">
      <c r="A58" s="174" t="s">
        <v>775</v>
      </c>
      <c r="B58" s="175">
        <f>Monk!B58*1</f>
        <v>0</v>
      </c>
      <c r="C58" s="176">
        <f>1-(1-Monk!B58)^1</f>
        <v>0</v>
      </c>
      <c r="E58" s="200"/>
      <c r="F58" s="10"/>
      <c r="G58" s="12"/>
      <c r="H58" s="174" t="s">
        <v>776</v>
      </c>
      <c r="I58" s="175">
        <f>Monk!G58*1</f>
        <v>0</v>
      </c>
      <c r="J58" s="176">
        <f>1-(1-Monk!G58)^1</f>
        <v>0</v>
      </c>
      <c r="L58" s="185"/>
      <c r="M58" s="12"/>
      <c r="N58" s="10"/>
      <c r="O58" s="174" t="s">
        <v>777</v>
      </c>
      <c r="P58" s="175">
        <f>Monk!L58*1</f>
        <v>0</v>
      </c>
      <c r="Q58" s="176">
        <f>1-(1-Monk!L58)^1</f>
        <v>0</v>
      </c>
      <c r="S58" s="185"/>
      <c r="T58" s="12"/>
      <c r="U58" s="10"/>
      <c r="V58" s="174" t="s">
        <v>778</v>
      </c>
      <c r="W58" s="175">
        <f>Monk!Q58*1</f>
        <v>0</v>
      </c>
      <c r="X58" s="176">
        <f>1-(1-Monk!Q58)^1</f>
        <v>0</v>
      </c>
      <c r="Z58" s="202"/>
      <c r="AA58" s="203"/>
      <c r="AB58" s="203"/>
      <c r="AC58" s="181"/>
      <c r="AD58" s="13"/>
    </row>
    <row r="59" ht="15.0" customHeight="1">
      <c r="A59" s="177" t="s">
        <v>779</v>
      </c>
      <c r="B59" s="172">
        <f>Monk!B59*1</f>
        <v>0</v>
      </c>
      <c r="C59" s="173">
        <f>1-(1-Monk!B59)^1</f>
        <v>0</v>
      </c>
      <c r="E59" s="200"/>
      <c r="F59" s="10"/>
      <c r="G59" s="12"/>
      <c r="H59" s="177" t="s">
        <v>780</v>
      </c>
      <c r="I59" s="172">
        <f>Monk!G59*1</f>
        <v>0</v>
      </c>
      <c r="J59" s="173">
        <f>1-(1-Monk!G59)^1</f>
        <v>0</v>
      </c>
      <c r="L59" s="185"/>
      <c r="M59" s="12"/>
      <c r="N59" s="10"/>
      <c r="O59" s="177" t="s">
        <v>781</v>
      </c>
      <c r="P59" s="172">
        <f>Monk!L59*1</f>
        <v>0</v>
      </c>
      <c r="Q59" s="173">
        <f>1-(1-Monk!L59)^1</f>
        <v>0</v>
      </c>
      <c r="S59" s="185"/>
      <c r="T59" s="12"/>
      <c r="U59" s="10"/>
      <c r="V59" s="177" t="s">
        <v>782</v>
      </c>
      <c r="W59" s="172">
        <f>Monk!Q59*1</f>
        <v>0</v>
      </c>
      <c r="X59" s="173">
        <f>1-(1-Monk!Q59)^1</f>
        <v>0</v>
      </c>
      <c r="Z59" s="202"/>
      <c r="AA59" s="203"/>
      <c r="AB59" s="203"/>
      <c r="AC59" s="181"/>
      <c r="AD59" s="13"/>
    </row>
    <row r="60" ht="15.0" customHeight="1">
      <c r="A60" s="174" t="s">
        <v>783</v>
      </c>
      <c r="B60" s="175">
        <f>Monk!B60*1</f>
        <v>0</v>
      </c>
      <c r="C60" s="176">
        <f>1-(1-Monk!B60)^1</f>
        <v>0</v>
      </c>
      <c r="E60" s="200"/>
      <c r="F60" s="10"/>
      <c r="G60" s="12"/>
      <c r="H60" s="174" t="s">
        <v>784</v>
      </c>
      <c r="I60" s="175">
        <f>Monk!G60*1</f>
        <v>0</v>
      </c>
      <c r="J60" s="176">
        <f>1-(1-Monk!G60)^1</f>
        <v>0</v>
      </c>
      <c r="L60" s="185"/>
      <c r="M60" s="12"/>
      <c r="N60" s="10"/>
      <c r="O60" s="174" t="s">
        <v>785</v>
      </c>
      <c r="P60" s="175">
        <f>Monk!L60*1</f>
        <v>0</v>
      </c>
      <c r="Q60" s="176">
        <f>1-(1-Monk!L60)^1</f>
        <v>0</v>
      </c>
      <c r="S60" s="185"/>
      <c r="T60" s="12"/>
      <c r="U60" s="10"/>
      <c r="V60" s="174" t="s">
        <v>786</v>
      </c>
      <c r="W60" s="175">
        <f>Monk!Q60*1</f>
        <v>0</v>
      </c>
      <c r="X60" s="176">
        <f>1-(1-Monk!Q60)^1</f>
        <v>0</v>
      </c>
      <c r="Z60" s="202"/>
      <c r="AA60" s="203"/>
      <c r="AB60" s="203"/>
      <c r="AC60" s="181"/>
      <c r="AD60" s="13"/>
    </row>
    <row r="61" ht="15.0" customHeight="1">
      <c r="A61" s="12"/>
      <c r="B61" s="12"/>
      <c r="C61" s="12"/>
      <c r="D61" s="48"/>
      <c r="E61" s="12"/>
      <c r="F61" s="12"/>
      <c r="G61" s="12"/>
      <c r="H61" s="12"/>
      <c r="I61" s="12"/>
      <c r="J61" s="12"/>
      <c r="K61" s="48"/>
      <c r="L61" s="12"/>
      <c r="M61" s="12"/>
      <c r="N61" s="12"/>
      <c r="O61" s="12"/>
      <c r="P61" s="12"/>
      <c r="Q61" s="12"/>
      <c r="R61" s="48"/>
      <c r="S61" s="12"/>
      <c r="T61" s="12"/>
      <c r="U61" s="12"/>
      <c r="V61" s="12"/>
      <c r="W61" s="12"/>
      <c r="X61" s="12"/>
      <c r="Y61" s="48"/>
      <c r="Z61" s="12"/>
      <c r="AA61" s="12"/>
      <c r="AB61" s="12"/>
      <c r="AC61" s="12"/>
      <c r="AD61" s="13"/>
    </row>
    <row r="62" ht="15.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3"/>
    </row>
    <row r="63" ht="15.0"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52"/>
    </row>
    <row r="64" ht="15.0" customHeight="1">
      <c r="A64" s="54"/>
    </row>
  </sheetData>
  <mergeCells count="40">
    <mergeCell ref="A1:AD1"/>
    <mergeCell ref="A2:AD2"/>
    <mergeCell ref="A3:AD3"/>
    <mergeCell ref="B4:G4"/>
    <mergeCell ref="H4:I4"/>
    <mergeCell ref="B5:G5"/>
    <mergeCell ref="H5:K6"/>
    <mergeCell ref="W7:X7"/>
    <mergeCell ref="Y7:Z7"/>
    <mergeCell ref="AA7:AB7"/>
    <mergeCell ref="AC8:AC15"/>
    <mergeCell ref="Y26:Y33"/>
    <mergeCell ref="Y44:Y51"/>
    <mergeCell ref="Y53:Y60"/>
    <mergeCell ref="B6:G6"/>
    <mergeCell ref="B7:C7"/>
    <mergeCell ref="D7:E7"/>
    <mergeCell ref="I7:J7"/>
    <mergeCell ref="P7:Q7"/>
    <mergeCell ref="R7:S7"/>
    <mergeCell ref="F8:F15"/>
    <mergeCell ref="T8:T15"/>
    <mergeCell ref="K7:L7"/>
    <mergeCell ref="M8:M15"/>
    <mergeCell ref="D17:D24"/>
    <mergeCell ref="K17:K24"/>
    <mergeCell ref="R17:R24"/>
    <mergeCell ref="K26:K33"/>
    <mergeCell ref="R26:R33"/>
    <mergeCell ref="K44:K51"/>
    <mergeCell ref="K53:K60"/>
    <mergeCell ref="A64:AD64"/>
    <mergeCell ref="D26:D33"/>
    <mergeCell ref="D35:D42"/>
    <mergeCell ref="K35:K42"/>
    <mergeCell ref="R35:R42"/>
    <mergeCell ref="D44:D51"/>
    <mergeCell ref="R44:R51"/>
    <mergeCell ref="D53:D60"/>
    <mergeCell ref="R53:R60"/>
  </mergeCells>
  <hyperlinks>
    <hyperlink r:id="rId1" ref="H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1.88"/>
    <col customWidth="1" min="2" max="4" width="8.75"/>
    <col customWidth="1" min="5" max="5" width="19.13"/>
    <col customWidth="1" min="6" max="8" width="8.75"/>
    <col customWidth="1" min="9" max="9" width="18.75"/>
    <col customWidth="1" min="10" max="12" width="8.75"/>
    <col customWidth="1" min="13" max="13" width="22.5"/>
    <col customWidth="1" min="14" max="16" width="8.75"/>
    <col customWidth="1" min="17" max="17" width="20.63"/>
    <col customWidth="1" min="18" max="25" width="8.75"/>
  </cols>
  <sheetData>
    <row r="1" ht="33.0" customHeight="1">
      <c r="A1" s="66" t="str">
        <f>Barb!A1</f>
        <v>- OUTDATED -
</v>
      </c>
    </row>
    <row r="2" ht="33.0" customHeight="1">
      <c r="A2" s="67" t="str">
        <f>Barb!A2</f>
        <v>(8/26/14, Patch 2.1) I, ZzEzZ, will no longer be updating this proc coefficient sheet. The changes to LoH have made it impossible to create a comprehensive list of all PC's for all characters, specifically the Demon Hunter and their Bow based skills. I apologize to those of you who have supported this project and anyone who found this useful. If you need a specific skill's PC tested, you can still do most using the weapon "Hack." Its thorns based ability can illuminate the proc coefficient for most skills through personal testing. Good luck to all. I now leave the ball in your court. Happy hunting.</v>
      </c>
    </row>
    <row r="3" ht="33.0" customHeight="1">
      <c r="A3" s="4"/>
      <c r="B3" s="4"/>
      <c r="C3" s="4"/>
      <c r="D3" s="4"/>
      <c r="E3" s="4"/>
      <c r="F3" s="4"/>
      <c r="G3" s="4"/>
      <c r="H3" s="4"/>
      <c r="I3" s="4"/>
      <c r="J3" s="4"/>
      <c r="K3" s="4"/>
      <c r="L3" s="4"/>
      <c r="M3" s="4"/>
      <c r="N3" s="4"/>
      <c r="O3" s="4"/>
      <c r="P3" s="4"/>
      <c r="Q3" s="4"/>
      <c r="R3" s="4"/>
      <c r="S3" s="4"/>
      <c r="T3" s="4"/>
      <c r="U3" s="4"/>
      <c r="V3" s="4"/>
      <c r="W3" s="4"/>
      <c r="X3" s="4"/>
      <c r="Y3" s="4"/>
    </row>
    <row r="4" ht="33.0" customHeight="1">
      <c r="A4" s="80" t="str">
        <f>Barb!A4</f>
        <v>100% tested (2.0.6)</v>
      </c>
      <c r="B4" s="81" t="str">
        <f>Barb!B4</f>
        <v>Proc Coefficients</v>
      </c>
      <c r="C4" s="7"/>
      <c r="D4" s="7"/>
      <c r="E4" s="7"/>
      <c r="F4" s="8"/>
      <c r="G4" s="70" t="str">
        <f>Barb!G4</f>
        <v>Downloadable Sheet:</v>
      </c>
      <c r="H4" s="7"/>
      <c r="I4" s="8"/>
      <c r="J4" s="10"/>
      <c r="K4" s="10"/>
      <c r="L4" s="10"/>
      <c r="M4" s="82" t="str">
        <f>Barb!M4</f>
        <v>Donate</v>
      </c>
      <c r="N4" s="10"/>
      <c r="O4" s="12"/>
      <c r="P4" s="12"/>
      <c r="Q4" s="12"/>
      <c r="R4" s="12"/>
      <c r="S4" s="12"/>
      <c r="T4" s="13"/>
      <c r="U4" s="7"/>
      <c r="V4" s="7"/>
      <c r="W4" s="7"/>
      <c r="X4" s="7"/>
      <c r="Y4" s="7"/>
    </row>
    <row r="5" ht="15.75" customHeight="1">
      <c r="A5" s="83" t="str">
        <f>Barb!A5</f>
        <v>Updated: 7/10/14</v>
      </c>
      <c r="B5" s="84" t="str">
        <f>Barb!B5</f>
        <v>(per hit/tick)</v>
      </c>
      <c r="C5" s="7"/>
      <c r="D5" s="7"/>
      <c r="E5" s="7"/>
      <c r="F5" s="8"/>
      <c r="G5" s="74" t="s">
        <v>8</v>
      </c>
      <c r="H5" s="17"/>
      <c r="I5" s="17"/>
      <c r="J5" s="18"/>
      <c r="K5" s="10"/>
      <c r="L5" s="10"/>
      <c r="M5" s="85" t="s">
        <v>9</v>
      </c>
      <c r="N5" s="20" t="s">
        <v>10</v>
      </c>
      <c r="O5" s="12"/>
      <c r="P5" s="12"/>
      <c r="Q5" s="12"/>
      <c r="R5" s="12"/>
      <c r="S5" s="12"/>
      <c r="T5" s="13"/>
      <c r="U5" s="7"/>
      <c r="V5" s="7"/>
      <c r="W5" s="7"/>
      <c r="X5" s="7"/>
      <c r="Y5" s="7"/>
    </row>
    <row r="6" ht="32.25" customHeight="1">
      <c r="A6" s="21"/>
      <c r="B6" s="206" t="s">
        <v>792</v>
      </c>
      <c r="C6" s="7"/>
      <c r="D6" s="7"/>
      <c r="E6" s="7"/>
      <c r="F6" s="8"/>
      <c r="G6" s="23"/>
      <c r="H6" s="4"/>
      <c r="I6" s="4"/>
      <c r="J6" s="24"/>
      <c r="K6" s="10"/>
      <c r="L6" s="10"/>
      <c r="M6" s="207" t="s">
        <v>793</v>
      </c>
      <c r="N6" s="10"/>
      <c r="O6" s="12"/>
      <c r="P6" s="12"/>
      <c r="Q6" s="12"/>
      <c r="R6" s="12"/>
      <c r="S6" s="12"/>
      <c r="T6" s="13"/>
      <c r="U6" s="7"/>
      <c r="V6" s="7"/>
      <c r="W6" s="7"/>
      <c r="X6" s="7"/>
      <c r="Y6" s="7"/>
    </row>
    <row r="7" ht="15.0" customHeight="1">
      <c r="A7" s="10"/>
      <c r="B7" s="26"/>
      <c r="C7" s="26"/>
      <c r="D7" s="10"/>
      <c r="E7" s="10"/>
      <c r="F7" s="26"/>
      <c r="G7" s="26"/>
      <c r="H7" s="10"/>
      <c r="I7" s="10"/>
      <c r="J7" s="26"/>
      <c r="K7" s="26"/>
      <c r="L7" s="10"/>
      <c r="M7" s="10"/>
      <c r="N7" s="26"/>
      <c r="O7" s="27"/>
      <c r="P7" s="12"/>
      <c r="Q7" s="12"/>
      <c r="R7" s="12"/>
      <c r="S7" s="12"/>
      <c r="T7" s="13"/>
      <c r="U7" s="7"/>
      <c r="V7" s="7"/>
      <c r="W7" s="7"/>
      <c r="X7" s="7"/>
      <c r="Y7" s="7"/>
    </row>
    <row r="8" ht="15.0" customHeight="1">
      <c r="A8" s="28"/>
      <c r="B8" s="29" t="s">
        <v>13</v>
      </c>
      <c r="C8" s="30" t="s">
        <v>794</v>
      </c>
      <c r="D8" s="31"/>
      <c r="E8" s="28"/>
      <c r="F8" s="29" t="s">
        <v>13</v>
      </c>
      <c r="G8" s="30" t="s">
        <v>795</v>
      </c>
      <c r="H8" s="31"/>
      <c r="I8" s="28"/>
      <c r="J8" s="29" t="s">
        <v>13</v>
      </c>
      <c r="K8" s="30" t="s">
        <v>796</v>
      </c>
      <c r="L8" s="31"/>
      <c r="M8" s="28"/>
      <c r="N8" s="29" t="s">
        <v>13</v>
      </c>
      <c r="O8" s="43" t="s">
        <v>797</v>
      </c>
      <c r="P8" s="21"/>
      <c r="Q8" s="12"/>
      <c r="R8" s="12"/>
      <c r="S8" s="12"/>
      <c r="T8" s="13"/>
      <c r="U8" s="7"/>
      <c r="V8" s="7"/>
      <c r="W8" s="7"/>
      <c r="X8" s="7"/>
      <c r="Y8" s="7"/>
    </row>
    <row r="9" ht="17.25" customHeight="1">
      <c r="A9" s="208" t="s">
        <v>18</v>
      </c>
      <c r="B9" s="209">
        <f>AVERAGE(B10:B15)</f>
        <v>0.8888888889</v>
      </c>
      <c r="D9" s="31"/>
      <c r="E9" s="208" t="s">
        <v>18</v>
      </c>
      <c r="F9" s="209">
        <f>AVERAGE(F10:F15)</f>
        <v>0.1166666667</v>
      </c>
      <c r="H9" s="31"/>
      <c r="I9" s="208" t="s">
        <v>18</v>
      </c>
      <c r="J9" s="209">
        <f>AVERAGE(J10:J15)</f>
        <v>0.5694444444</v>
      </c>
      <c r="L9" s="31"/>
      <c r="M9" s="208" t="s">
        <v>18</v>
      </c>
      <c r="N9" s="209">
        <f>AVERAGE(N10:N15)</f>
        <v>0.237037037</v>
      </c>
      <c r="P9" s="21"/>
      <c r="Q9" s="12"/>
      <c r="R9" s="12"/>
      <c r="S9" s="12"/>
      <c r="T9" s="13"/>
      <c r="U9" s="7"/>
      <c r="V9" s="7"/>
      <c r="W9" s="7"/>
      <c r="X9" s="7"/>
      <c r="Y9" s="7"/>
    </row>
    <row r="10" ht="15.0" customHeight="1">
      <c r="A10" s="210" t="s">
        <v>19</v>
      </c>
      <c r="B10" s="211">
        <v>1.0</v>
      </c>
      <c r="D10" s="31"/>
      <c r="E10" s="210" t="s">
        <v>19</v>
      </c>
      <c r="F10" s="212">
        <f t="shared" ref="F10:F11" si="1">11/100</f>
        <v>0.11</v>
      </c>
      <c r="H10" s="31"/>
      <c r="I10" s="210" t="s">
        <v>19</v>
      </c>
      <c r="J10" s="212">
        <f t="shared" ref="J10:J11" si="2">2/3</f>
        <v>0.6666666667</v>
      </c>
      <c r="L10" s="31"/>
      <c r="M10" s="210" t="s">
        <v>19</v>
      </c>
      <c r="N10" s="212">
        <f>2/3</f>
        <v>0.6666666667</v>
      </c>
      <c r="P10" s="21"/>
      <c r="Q10" s="12"/>
      <c r="R10" s="12"/>
      <c r="S10" s="12"/>
      <c r="T10" s="13"/>
      <c r="U10" s="7"/>
      <c r="V10" s="7"/>
      <c r="W10" s="7"/>
      <c r="X10" s="7"/>
      <c r="Y10" s="7"/>
    </row>
    <row r="11" ht="15.0" customHeight="1">
      <c r="A11" s="213" t="s">
        <v>798</v>
      </c>
      <c r="B11" s="214">
        <f>1/3</f>
        <v>0.3333333333</v>
      </c>
      <c r="D11" s="31"/>
      <c r="E11" s="213" t="s">
        <v>799</v>
      </c>
      <c r="F11" s="214">
        <f t="shared" si="1"/>
        <v>0.11</v>
      </c>
      <c r="H11" s="31"/>
      <c r="I11" s="213" t="s">
        <v>800</v>
      </c>
      <c r="J11" s="214">
        <f t="shared" si="2"/>
        <v>0.6666666667</v>
      </c>
      <c r="L11" s="31"/>
      <c r="M11" s="213" t="s">
        <v>801</v>
      </c>
      <c r="N11" s="214">
        <f>1/5</f>
        <v>0.2</v>
      </c>
      <c r="P11" s="21"/>
      <c r="Q11" s="12"/>
      <c r="R11" s="12"/>
      <c r="S11" s="12"/>
      <c r="T11" s="13"/>
      <c r="U11" s="7"/>
      <c r="V11" s="7"/>
      <c r="W11" s="7"/>
      <c r="X11" s="7"/>
      <c r="Y11" s="7"/>
    </row>
    <row r="12" ht="15.0" customHeight="1">
      <c r="A12" s="215" t="s">
        <v>802</v>
      </c>
      <c r="B12" s="211">
        <v>1.0</v>
      </c>
      <c r="D12" s="31"/>
      <c r="E12" s="215" t="s">
        <v>803</v>
      </c>
      <c r="F12" s="212">
        <f>3/20</f>
        <v>0.15</v>
      </c>
      <c r="H12" s="31"/>
      <c r="I12" s="215" t="s">
        <v>804</v>
      </c>
      <c r="J12" s="212">
        <f>1/2</f>
        <v>0.5</v>
      </c>
      <c r="L12" s="31"/>
      <c r="M12" s="215" t="s">
        <v>805</v>
      </c>
      <c r="N12" s="212">
        <f>2/9</f>
        <v>0.2222222222</v>
      </c>
      <c r="P12" s="21"/>
      <c r="Q12" s="12"/>
      <c r="R12" s="12"/>
      <c r="S12" s="12"/>
      <c r="T12" s="13"/>
      <c r="U12" s="7"/>
      <c r="V12" s="7"/>
      <c r="W12" s="7"/>
      <c r="X12" s="7"/>
      <c r="Y12" s="7"/>
    </row>
    <row r="13" ht="15.0" customHeight="1">
      <c r="A13" s="213" t="s">
        <v>806</v>
      </c>
      <c r="B13" s="216">
        <v>1.0</v>
      </c>
      <c r="D13" s="31"/>
      <c r="E13" s="213" t="s">
        <v>807</v>
      </c>
      <c r="F13" s="214">
        <f t="shared" ref="F13:F15" si="3">11/100</f>
        <v>0.11</v>
      </c>
      <c r="H13" s="31"/>
      <c r="I13" s="213" t="s">
        <v>808</v>
      </c>
      <c r="J13" s="214">
        <f>1/4</f>
        <v>0.25</v>
      </c>
      <c r="L13" s="31"/>
      <c r="M13" s="213" t="s">
        <v>809</v>
      </c>
      <c r="N13" s="214">
        <f>1/15</f>
        <v>0.06666666667</v>
      </c>
      <c r="P13" s="21"/>
      <c r="Q13" s="12"/>
      <c r="R13" s="12"/>
      <c r="S13" s="12"/>
      <c r="T13" s="13"/>
      <c r="U13" s="7"/>
      <c r="V13" s="7"/>
      <c r="W13" s="7"/>
      <c r="X13" s="7"/>
      <c r="Y13" s="7"/>
    </row>
    <row r="14" ht="15.0" customHeight="1">
      <c r="A14" s="215" t="s">
        <v>810</v>
      </c>
      <c r="B14" s="211">
        <v>1.0</v>
      </c>
      <c r="D14" s="31"/>
      <c r="E14" s="215" t="s">
        <v>811</v>
      </c>
      <c r="F14" s="212">
        <f t="shared" si="3"/>
        <v>0.11</v>
      </c>
      <c r="H14" s="31"/>
      <c r="I14" s="215" t="s">
        <v>812</v>
      </c>
      <c r="J14" s="212">
        <f t="shared" ref="J14:J15" si="4">2/3</f>
        <v>0.6666666667</v>
      </c>
      <c r="L14" s="31"/>
      <c r="M14" s="215" t="s">
        <v>813</v>
      </c>
      <c r="N14" s="212">
        <f>1/10</f>
        <v>0.1</v>
      </c>
      <c r="P14" s="21"/>
      <c r="Q14" s="12"/>
      <c r="R14" s="12"/>
      <c r="S14" s="12"/>
      <c r="T14" s="13"/>
      <c r="U14" s="7"/>
      <c r="V14" s="7"/>
      <c r="W14" s="7"/>
      <c r="X14" s="7"/>
      <c r="Y14" s="7"/>
    </row>
    <row r="15" ht="15.0" customHeight="1">
      <c r="A15" s="213" t="s">
        <v>814</v>
      </c>
      <c r="B15" s="216">
        <v>1.0</v>
      </c>
      <c r="D15" s="31"/>
      <c r="E15" s="213" t="s">
        <v>815</v>
      </c>
      <c r="F15" s="214">
        <f t="shared" si="3"/>
        <v>0.11</v>
      </c>
      <c r="H15" s="31"/>
      <c r="I15" s="213" t="s">
        <v>816</v>
      </c>
      <c r="J15" s="214">
        <f t="shared" si="4"/>
        <v>0.6666666667</v>
      </c>
      <c r="L15" s="31"/>
      <c r="M15" s="213" t="s">
        <v>817</v>
      </c>
      <c r="N15" s="214">
        <f>1/6</f>
        <v>0.1666666667</v>
      </c>
      <c r="P15" s="21"/>
      <c r="Q15" s="12"/>
      <c r="R15" s="12"/>
      <c r="S15" s="12"/>
      <c r="T15" s="13"/>
      <c r="U15" s="7"/>
      <c r="V15" s="7"/>
      <c r="W15" s="7"/>
      <c r="X15" s="7"/>
      <c r="Y15" s="7"/>
    </row>
    <row r="16" ht="15.0" customHeight="1">
      <c r="A16" s="10"/>
      <c r="B16" s="26"/>
      <c r="C16" s="41"/>
      <c r="D16" s="10"/>
      <c r="E16" s="10"/>
      <c r="F16" s="26"/>
      <c r="G16" s="41"/>
      <c r="H16" s="10"/>
      <c r="I16" s="10"/>
      <c r="J16" s="26"/>
      <c r="K16" s="41"/>
      <c r="L16" s="10"/>
      <c r="M16" s="10"/>
      <c r="N16" s="26"/>
      <c r="O16" s="42"/>
      <c r="P16" s="12"/>
      <c r="Q16" s="12"/>
      <c r="R16" s="12"/>
      <c r="S16" s="12"/>
      <c r="T16" s="13"/>
      <c r="U16" s="7"/>
      <c r="V16" s="7"/>
      <c r="W16" s="7"/>
      <c r="X16" s="7"/>
      <c r="Y16" s="7"/>
    </row>
    <row r="17" ht="15.75" customHeight="1">
      <c r="A17" s="28"/>
      <c r="B17" s="29" t="s">
        <v>13</v>
      </c>
      <c r="C17" s="30" t="s">
        <v>818</v>
      </c>
      <c r="D17" s="31"/>
      <c r="E17" s="28"/>
      <c r="F17" s="29" t="s">
        <v>13</v>
      </c>
      <c r="G17" s="30" t="s">
        <v>819</v>
      </c>
      <c r="H17" s="31"/>
      <c r="I17" s="28"/>
      <c r="J17" s="29" t="s">
        <v>13</v>
      </c>
      <c r="K17" s="30" t="s">
        <v>820</v>
      </c>
      <c r="L17" s="31"/>
      <c r="M17" s="28"/>
      <c r="N17" s="29" t="s">
        <v>13</v>
      </c>
      <c r="O17" s="43" t="s">
        <v>821</v>
      </c>
      <c r="P17" s="21"/>
      <c r="Q17" s="12"/>
      <c r="R17" s="12"/>
      <c r="S17" s="12"/>
      <c r="T17" s="13"/>
      <c r="U17" s="7"/>
      <c r="V17" s="7"/>
      <c r="W17" s="7"/>
      <c r="X17" s="7"/>
      <c r="Y17" s="7"/>
    </row>
    <row r="18" ht="17.25" customHeight="1">
      <c r="A18" s="208" t="s">
        <v>18</v>
      </c>
      <c r="B18" s="209">
        <f>AVERAGE(B19:B24)</f>
        <v>0.07</v>
      </c>
      <c r="D18" s="31"/>
      <c r="E18" s="208" t="s">
        <v>18</v>
      </c>
      <c r="F18" s="209">
        <f>AVERAGE(F19:F24)</f>
        <v>0.2638888889</v>
      </c>
      <c r="H18" s="31"/>
      <c r="I18" s="208" t="s">
        <v>18</v>
      </c>
      <c r="J18" s="209">
        <f>AVERAGE(J19:J24)</f>
        <v>1</v>
      </c>
      <c r="L18" s="31"/>
      <c r="M18" s="208" t="s">
        <v>18</v>
      </c>
      <c r="N18" s="209">
        <f>AVERAGE(N19:N24)</f>
        <v>0.3333333333</v>
      </c>
      <c r="P18" s="21"/>
      <c r="Q18" s="12"/>
      <c r="R18" s="12"/>
      <c r="S18" s="12"/>
      <c r="T18" s="13"/>
      <c r="U18" s="7"/>
      <c r="V18" s="7"/>
      <c r="W18" s="7"/>
      <c r="X18" s="7"/>
      <c r="Y18" s="7"/>
    </row>
    <row r="19" ht="15.0" customHeight="1">
      <c r="A19" s="210" t="s">
        <v>19</v>
      </c>
      <c r="B19" s="212">
        <f t="shared" ref="B19:B24" si="5">7/100</f>
        <v>0.07</v>
      </c>
      <c r="D19" s="31"/>
      <c r="E19" s="210" t="s">
        <v>19</v>
      </c>
      <c r="F19" s="212">
        <f>1/6</f>
        <v>0.1666666667</v>
      </c>
      <c r="H19" s="31"/>
      <c r="I19" s="210" t="s">
        <v>19</v>
      </c>
      <c r="J19" s="211">
        <v>1.0</v>
      </c>
      <c r="L19" s="31"/>
      <c r="M19" s="210" t="s">
        <v>19</v>
      </c>
      <c r="N19" s="212">
        <f t="shared" ref="N19:N24" si="6">1/3</f>
        <v>0.3333333333</v>
      </c>
      <c r="P19" s="21"/>
      <c r="Q19" s="12"/>
      <c r="R19" s="12"/>
      <c r="S19" s="12"/>
      <c r="T19" s="13"/>
      <c r="U19" s="7"/>
      <c r="V19" s="7"/>
      <c r="W19" s="7"/>
      <c r="X19" s="7"/>
      <c r="Y19" s="7"/>
    </row>
    <row r="20" ht="15.0" customHeight="1">
      <c r="A20" s="213" t="s">
        <v>822</v>
      </c>
      <c r="B20" s="214">
        <f t="shared" si="5"/>
        <v>0.07</v>
      </c>
      <c r="D20" s="31"/>
      <c r="E20" s="213" t="s">
        <v>823</v>
      </c>
      <c r="F20" s="214">
        <f>1/3</f>
        <v>0.3333333333</v>
      </c>
      <c r="H20" s="31"/>
      <c r="I20" s="213" t="s">
        <v>824</v>
      </c>
      <c r="J20" s="216">
        <v>1.0</v>
      </c>
      <c r="L20" s="31"/>
      <c r="M20" s="213" t="s">
        <v>825</v>
      </c>
      <c r="N20" s="214">
        <f t="shared" si="6"/>
        <v>0.3333333333</v>
      </c>
      <c r="P20" s="21"/>
      <c r="Q20" s="12"/>
      <c r="R20" s="12"/>
      <c r="S20" s="12"/>
      <c r="T20" s="13"/>
      <c r="U20" s="7"/>
      <c r="V20" s="7"/>
      <c r="W20" s="7"/>
      <c r="X20" s="7"/>
      <c r="Y20" s="7"/>
    </row>
    <row r="21" ht="15.0" customHeight="1">
      <c r="A21" s="215" t="s">
        <v>826</v>
      </c>
      <c r="B21" s="212">
        <f t="shared" si="5"/>
        <v>0.07</v>
      </c>
      <c r="D21" s="31"/>
      <c r="E21" s="215" t="s">
        <v>827</v>
      </c>
      <c r="F21" s="212">
        <f t="shared" ref="F21:F22" si="7">1/6</f>
        <v>0.1666666667</v>
      </c>
      <c r="H21" s="31"/>
      <c r="I21" s="215" t="s">
        <v>828</v>
      </c>
      <c r="J21" s="211">
        <v>1.0</v>
      </c>
      <c r="L21" s="31"/>
      <c r="M21" s="215" t="s">
        <v>829</v>
      </c>
      <c r="N21" s="212">
        <f t="shared" si="6"/>
        <v>0.3333333333</v>
      </c>
      <c r="P21" s="21"/>
      <c r="Q21" s="12"/>
      <c r="R21" s="12"/>
      <c r="S21" s="12"/>
      <c r="T21" s="13"/>
      <c r="U21" s="7"/>
      <c r="V21" s="7"/>
      <c r="W21" s="7"/>
      <c r="X21" s="7"/>
      <c r="Y21" s="7"/>
    </row>
    <row r="22" ht="15.0" customHeight="1">
      <c r="A22" s="213" t="s">
        <v>830</v>
      </c>
      <c r="B22" s="214">
        <f t="shared" si="5"/>
        <v>0.07</v>
      </c>
      <c r="D22" s="31"/>
      <c r="E22" s="213" t="s">
        <v>831</v>
      </c>
      <c r="F22" s="214">
        <f t="shared" si="7"/>
        <v>0.1666666667</v>
      </c>
      <c r="H22" s="31"/>
      <c r="I22" s="213" t="s">
        <v>832</v>
      </c>
      <c r="J22" s="216">
        <v>1.0</v>
      </c>
      <c r="L22" s="31"/>
      <c r="M22" s="213" t="s">
        <v>833</v>
      </c>
      <c r="N22" s="214">
        <f t="shared" si="6"/>
        <v>0.3333333333</v>
      </c>
      <c r="P22" s="21"/>
      <c r="Q22" s="12"/>
      <c r="R22" s="12"/>
      <c r="S22" s="12"/>
      <c r="T22" s="13"/>
      <c r="U22" s="7"/>
      <c r="V22" s="7"/>
      <c r="W22" s="7"/>
      <c r="X22" s="7"/>
      <c r="Y22" s="7"/>
    </row>
    <row r="23" ht="15.0" customHeight="1">
      <c r="A23" s="215" t="s">
        <v>834</v>
      </c>
      <c r="B23" s="212">
        <f t="shared" si="5"/>
        <v>0.07</v>
      </c>
      <c r="D23" s="31"/>
      <c r="E23" s="215" t="s">
        <v>835</v>
      </c>
      <c r="F23" s="212">
        <f>1/2</f>
        <v>0.5</v>
      </c>
      <c r="H23" s="31"/>
      <c r="I23" s="215" t="s">
        <v>836</v>
      </c>
      <c r="J23" s="211">
        <v>1.0</v>
      </c>
      <c r="L23" s="31"/>
      <c r="M23" s="215" t="s">
        <v>837</v>
      </c>
      <c r="N23" s="212">
        <f t="shared" si="6"/>
        <v>0.3333333333</v>
      </c>
      <c r="P23" s="21"/>
      <c r="Q23" s="12"/>
      <c r="R23" s="12"/>
      <c r="S23" s="12"/>
      <c r="T23" s="13"/>
      <c r="U23" s="7"/>
      <c r="V23" s="7"/>
      <c r="W23" s="7"/>
      <c r="X23" s="7"/>
      <c r="Y23" s="7"/>
    </row>
    <row r="24" ht="15.0" customHeight="1">
      <c r="A24" s="213" t="s">
        <v>838</v>
      </c>
      <c r="B24" s="214">
        <f t="shared" si="5"/>
        <v>0.07</v>
      </c>
      <c r="D24" s="31"/>
      <c r="E24" s="213" t="s">
        <v>839</v>
      </c>
      <c r="F24" s="214">
        <f>1/4</f>
        <v>0.25</v>
      </c>
      <c r="H24" s="31"/>
      <c r="I24" s="213" t="s">
        <v>840</v>
      </c>
      <c r="J24" s="216">
        <v>1.0</v>
      </c>
      <c r="L24" s="31"/>
      <c r="M24" s="213" t="s">
        <v>841</v>
      </c>
      <c r="N24" s="214">
        <f t="shared" si="6"/>
        <v>0.3333333333</v>
      </c>
      <c r="P24" s="21"/>
      <c r="Q24" s="12"/>
      <c r="R24" s="12"/>
      <c r="S24" s="12"/>
      <c r="T24" s="13"/>
      <c r="U24" s="7"/>
      <c r="V24" s="7"/>
      <c r="W24" s="7"/>
      <c r="X24" s="7"/>
      <c r="Y24" s="7"/>
    </row>
    <row r="25" ht="15.75" customHeight="1">
      <c r="A25" s="10"/>
      <c r="B25" s="26"/>
      <c r="C25" s="26"/>
      <c r="D25" s="10"/>
      <c r="E25" s="10"/>
      <c r="F25" s="26"/>
      <c r="G25" s="41"/>
      <c r="H25" s="10"/>
      <c r="I25" s="10"/>
      <c r="J25" s="26"/>
      <c r="K25" s="41"/>
      <c r="L25" s="10"/>
      <c r="M25" s="10"/>
      <c r="N25" s="26"/>
      <c r="O25" s="42"/>
      <c r="P25" s="12"/>
      <c r="Q25" s="12"/>
      <c r="R25" s="12"/>
      <c r="S25" s="12"/>
      <c r="T25" s="13"/>
      <c r="U25" s="7"/>
      <c r="V25" s="7"/>
      <c r="W25" s="7"/>
      <c r="X25" s="7"/>
      <c r="Y25" s="7"/>
    </row>
    <row r="26" ht="20.25" customHeight="1">
      <c r="A26" s="28"/>
      <c r="B26" s="29" t="s">
        <v>13</v>
      </c>
      <c r="C26" s="30" t="s">
        <v>842</v>
      </c>
      <c r="D26" s="31"/>
      <c r="E26" s="28"/>
      <c r="F26" s="29" t="s">
        <v>13</v>
      </c>
      <c r="G26" s="30" t="s">
        <v>843</v>
      </c>
      <c r="H26" s="31"/>
      <c r="I26" s="28"/>
      <c r="J26" s="29" t="s">
        <v>13</v>
      </c>
      <c r="K26" s="30" t="s">
        <v>844</v>
      </c>
      <c r="L26" s="31"/>
      <c r="M26" s="28"/>
      <c r="N26" s="29" t="s">
        <v>13</v>
      </c>
      <c r="O26" s="43" t="s">
        <v>845</v>
      </c>
      <c r="P26" s="21"/>
      <c r="Q26" s="12"/>
      <c r="R26" s="12"/>
      <c r="S26" s="12"/>
      <c r="T26" s="13"/>
      <c r="U26" s="7"/>
      <c r="V26" s="7"/>
      <c r="W26" s="7"/>
      <c r="X26" s="7"/>
      <c r="Y26" s="7"/>
    </row>
    <row r="27" ht="17.25" customHeight="1">
      <c r="A27" s="208" t="s">
        <v>18</v>
      </c>
      <c r="B27" s="209">
        <f>AVERAGE(B28:B33)</f>
        <v>0</v>
      </c>
      <c r="D27" s="31"/>
      <c r="E27" s="208" t="s">
        <v>18</v>
      </c>
      <c r="F27" s="209">
        <f>AVERAGE(F28:F33)</f>
        <v>0</v>
      </c>
      <c r="H27" s="31"/>
      <c r="I27" s="208" t="s">
        <v>18</v>
      </c>
      <c r="J27" s="209">
        <f>AVERAGE(J28:J33)</f>
        <v>0.08888888889</v>
      </c>
      <c r="L27" s="31"/>
      <c r="M27" s="208" t="s">
        <v>18</v>
      </c>
      <c r="N27" s="209">
        <f>AVERAGE(N28:N33)</f>
        <v>0.05555555556</v>
      </c>
      <c r="P27" s="21"/>
      <c r="Q27" s="12"/>
      <c r="R27" s="12"/>
      <c r="S27" s="12"/>
      <c r="T27" s="13"/>
      <c r="U27" s="7"/>
      <c r="V27" s="7"/>
      <c r="W27" s="7"/>
      <c r="X27" s="7"/>
      <c r="Y27" s="7"/>
    </row>
    <row r="28" ht="15.0" customHeight="1">
      <c r="A28" s="210" t="s">
        <v>19</v>
      </c>
      <c r="B28" s="211">
        <v>0.0</v>
      </c>
      <c r="D28" s="31"/>
      <c r="E28" s="210" t="s">
        <v>19</v>
      </c>
      <c r="F28" s="211">
        <v>0.0</v>
      </c>
      <c r="H28" s="31"/>
      <c r="I28" s="210" t="s">
        <v>19</v>
      </c>
      <c r="J28" s="211">
        <v>0.0</v>
      </c>
      <c r="L28" s="31"/>
      <c r="M28" s="210" t="s">
        <v>19</v>
      </c>
      <c r="N28" s="211">
        <v>0.0</v>
      </c>
      <c r="P28" s="21"/>
      <c r="Q28" s="12"/>
      <c r="R28" s="12"/>
      <c r="S28" s="12"/>
      <c r="T28" s="13"/>
      <c r="U28" s="7"/>
      <c r="V28" s="7"/>
      <c r="W28" s="7"/>
      <c r="X28" s="7"/>
      <c r="Y28" s="7"/>
    </row>
    <row r="29" ht="15.0" customHeight="1">
      <c r="A29" s="213" t="s">
        <v>846</v>
      </c>
      <c r="B29" s="216">
        <v>0.0</v>
      </c>
      <c r="D29" s="31"/>
      <c r="E29" s="213" t="s">
        <v>847</v>
      </c>
      <c r="F29" s="216">
        <v>0.0</v>
      </c>
      <c r="H29" s="31"/>
      <c r="I29" s="213" t="s">
        <v>848</v>
      </c>
      <c r="J29" s="216">
        <v>0.0</v>
      </c>
      <c r="L29" s="31"/>
      <c r="M29" s="213" t="s">
        <v>849</v>
      </c>
      <c r="N29" s="216">
        <v>0.0</v>
      </c>
      <c r="P29" s="21"/>
      <c r="Q29" s="12"/>
      <c r="R29" s="12"/>
      <c r="S29" s="12"/>
      <c r="T29" s="13"/>
      <c r="U29" s="7"/>
      <c r="V29" s="7"/>
      <c r="W29" s="7"/>
      <c r="X29" s="7"/>
      <c r="Y29" s="7"/>
    </row>
    <row r="30" ht="15.0" customHeight="1">
      <c r="A30" s="215" t="s">
        <v>850</v>
      </c>
      <c r="B30" s="211">
        <v>0.0</v>
      </c>
      <c r="D30" s="31"/>
      <c r="E30" s="215" t="s">
        <v>851</v>
      </c>
      <c r="F30" s="211">
        <v>0.0</v>
      </c>
      <c r="H30" s="31"/>
      <c r="I30" s="215" t="s">
        <v>852</v>
      </c>
      <c r="J30" s="211">
        <v>0.0</v>
      </c>
      <c r="L30" s="31"/>
      <c r="M30" s="215" t="s">
        <v>853</v>
      </c>
      <c r="N30" s="211">
        <v>0.0</v>
      </c>
      <c r="P30" s="21"/>
      <c r="Q30" s="12"/>
      <c r="R30" s="12"/>
      <c r="S30" s="12"/>
      <c r="T30" s="13"/>
      <c r="U30" s="7"/>
      <c r="V30" s="7"/>
      <c r="W30" s="7"/>
      <c r="X30" s="7"/>
      <c r="Y30" s="7"/>
    </row>
    <row r="31" ht="15.0" customHeight="1">
      <c r="A31" s="213" t="s">
        <v>854</v>
      </c>
      <c r="B31" s="216">
        <v>0.0</v>
      </c>
      <c r="D31" s="31"/>
      <c r="E31" s="213" t="s">
        <v>855</v>
      </c>
      <c r="F31" s="216">
        <v>0.0</v>
      </c>
      <c r="H31" s="31"/>
      <c r="I31" s="213" t="s">
        <v>856</v>
      </c>
      <c r="J31" s="214">
        <f>1/3</f>
        <v>0.3333333333</v>
      </c>
      <c r="L31" s="31"/>
      <c r="M31" s="213" t="s">
        <v>857</v>
      </c>
      <c r="N31" s="214">
        <f>1/3</f>
        <v>0.3333333333</v>
      </c>
      <c r="P31" s="21"/>
      <c r="Q31" s="12"/>
      <c r="R31" s="12"/>
      <c r="S31" s="12"/>
      <c r="T31" s="13"/>
      <c r="U31" s="7"/>
      <c r="V31" s="7"/>
      <c r="W31" s="7"/>
      <c r="X31" s="7"/>
      <c r="Y31" s="7"/>
    </row>
    <row r="32" ht="15.0" customHeight="1">
      <c r="A32" s="215" t="s">
        <v>858</v>
      </c>
      <c r="B32" s="211">
        <v>0.0</v>
      </c>
      <c r="D32" s="31"/>
      <c r="E32" s="215" t="s">
        <v>859</v>
      </c>
      <c r="F32" s="211">
        <v>0.0</v>
      </c>
      <c r="H32" s="31"/>
      <c r="I32" s="215" t="s">
        <v>860</v>
      </c>
      <c r="J32" s="212">
        <f>1/5</f>
        <v>0.2</v>
      </c>
      <c r="L32" s="31"/>
      <c r="M32" s="215" t="s">
        <v>861</v>
      </c>
      <c r="N32" s="211">
        <v>0.0</v>
      </c>
      <c r="P32" s="21"/>
      <c r="Q32" s="12"/>
      <c r="R32" s="12"/>
      <c r="S32" s="12"/>
      <c r="T32" s="13"/>
      <c r="U32" s="7"/>
      <c r="V32" s="7"/>
      <c r="W32" s="7"/>
      <c r="X32" s="7"/>
      <c r="Y32" s="7"/>
    </row>
    <row r="33" ht="15.0" customHeight="1">
      <c r="A33" s="213" t="s">
        <v>862</v>
      </c>
      <c r="B33" s="216">
        <v>0.0</v>
      </c>
      <c r="D33" s="31"/>
      <c r="E33" s="213" t="s">
        <v>863</v>
      </c>
      <c r="F33" s="216">
        <v>0.0</v>
      </c>
      <c r="H33" s="31"/>
      <c r="I33" s="213" t="s">
        <v>864</v>
      </c>
      <c r="J33" s="216">
        <v>0.0</v>
      </c>
      <c r="L33" s="31"/>
      <c r="M33" s="213" t="s">
        <v>865</v>
      </c>
      <c r="N33" s="216">
        <v>0.0</v>
      </c>
      <c r="P33" s="21"/>
      <c r="Q33" s="12"/>
      <c r="R33" s="12"/>
      <c r="S33" s="12"/>
      <c r="T33" s="13"/>
      <c r="U33" s="7"/>
      <c r="V33" s="7"/>
      <c r="W33" s="7"/>
      <c r="X33" s="7"/>
      <c r="Y33" s="7"/>
    </row>
    <row r="34" ht="15.0" customHeight="1">
      <c r="A34" s="10"/>
      <c r="B34" s="26"/>
      <c r="C34" s="41"/>
      <c r="D34" s="10"/>
      <c r="E34" s="10"/>
      <c r="F34" s="26"/>
      <c r="G34" s="41"/>
      <c r="H34" s="10"/>
      <c r="I34" s="10"/>
      <c r="J34" s="26"/>
      <c r="K34" s="41"/>
      <c r="L34" s="10"/>
      <c r="M34" s="10"/>
      <c r="N34" s="10"/>
      <c r="O34" s="48"/>
      <c r="P34" s="12"/>
      <c r="Q34" s="12"/>
      <c r="R34" s="12"/>
      <c r="S34" s="12"/>
      <c r="T34" s="13"/>
      <c r="U34" s="7"/>
      <c r="V34" s="7"/>
      <c r="W34" s="7"/>
      <c r="X34" s="7"/>
      <c r="Y34" s="7"/>
    </row>
    <row r="35" ht="15.75" customHeight="1">
      <c r="A35" s="28"/>
      <c r="B35" s="29" t="s">
        <v>13</v>
      </c>
      <c r="C35" s="30" t="s">
        <v>866</v>
      </c>
      <c r="D35" s="31"/>
      <c r="E35" s="28"/>
      <c r="F35" s="29" t="s">
        <v>13</v>
      </c>
      <c r="G35" s="30" t="s">
        <v>867</v>
      </c>
      <c r="H35" s="31"/>
      <c r="I35" s="28"/>
      <c r="J35" s="29" t="s">
        <v>13</v>
      </c>
      <c r="K35" s="30" t="s">
        <v>868</v>
      </c>
      <c r="L35" s="31"/>
      <c r="M35" s="10"/>
      <c r="N35" s="10"/>
      <c r="O35" s="12"/>
      <c r="P35" s="12"/>
      <c r="Q35" s="12"/>
      <c r="R35" s="12"/>
      <c r="S35" s="12"/>
      <c r="T35" s="13"/>
      <c r="U35" s="7"/>
      <c r="V35" s="7"/>
      <c r="W35" s="7"/>
      <c r="X35" s="7"/>
      <c r="Y35" s="7"/>
    </row>
    <row r="36" ht="17.25" customHeight="1">
      <c r="A36" s="208" t="s">
        <v>18</v>
      </c>
      <c r="B36" s="209">
        <f>AVERAGE(B37:B42)</f>
        <v>0.04166666667</v>
      </c>
      <c r="D36" s="31"/>
      <c r="E36" s="208" t="s">
        <v>18</v>
      </c>
      <c r="F36" s="209">
        <f>AVERAGE(F37:F42)</f>
        <v>0.1666666667</v>
      </c>
      <c r="H36" s="31"/>
      <c r="I36" s="208" t="s">
        <v>18</v>
      </c>
      <c r="J36" s="209">
        <f>AVERAGE(J37:J42)</f>
        <v>0.02166666667</v>
      </c>
      <c r="L36" s="31"/>
      <c r="M36" s="10"/>
      <c r="N36" s="10"/>
      <c r="O36" s="12"/>
      <c r="P36" s="12"/>
      <c r="Q36" s="12"/>
      <c r="R36" s="12"/>
      <c r="S36" s="12"/>
      <c r="T36" s="13"/>
      <c r="U36" s="7"/>
      <c r="V36" s="7"/>
      <c r="W36" s="7"/>
      <c r="X36" s="7"/>
      <c r="Y36" s="7"/>
    </row>
    <row r="37" ht="15.0" customHeight="1">
      <c r="A37" s="210" t="s">
        <v>19</v>
      </c>
      <c r="B37" s="211">
        <v>0.0</v>
      </c>
      <c r="D37" s="31"/>
      <c r="E37" s="210" t="s">
        <v>19</v>
      </c>
      <c r="F37" s="212">
        <f t="shared" ref="F37:F42" si="8">1/6</f>
        <v>0.1666666667</v>
      </c>
      <c r="H37" s="31"/>
      <c r="I37" s="210" t="s">
        <v>19</v>
      </c>
      <c r="J37" s="211">
        <v>0.0</v>
      </c>
      <c r="L37" s="31"/>
      <c r="M37" s="10"/>
      <c r="N37" s="10"/>
      <c r="O37" s="12"/>
      <c r="P37" s="12"/>
      <c r="Q37" s="12"/>
      <c r="R37" s="12"/>
      <c r="S37" s="12"/>
      <c r="T37" s="13"/>
      <c r="U37" s="7"/>
      <c r="V37" s="7"/>
      <c r="W37" s="7"/>
      <c r="X37" s="7"/>
      <c r="Y37" s="7"/>
    </row>
    <row r="38" ht="15.0" customHeight="1">
      <c r="A38" s="213" t="s">
        <v>869</v>
      </c>
      <c r="B38" s="216">
        <v>0.0</v>
      </c>
      <c r="D38" s="31"/>
      <c r="E38" s="213" t="s">
        <v>870</v>
      </c>
      <c r="F38" s="214">
        <f t="shared" si="8"/>
        <v>0.1666666667</v>
      </c>
      <c r="H38" s="31"/>
      <c r="I38" s="213" t="s">
        <v>871</v>
      </c>
      <c r="J38" s="216">
        <v>0.0</v>
      </c>
      <c r="L38" s="31"/>
      <c r="M38" s="10"/>
      <c r="N38" s="10"/>
      <c r="O38" s="12"/>
      <c r="P38" s="12"/>
      <c r="Q38" s="12"/>
      <c r="R38" s="12"/>
      <c r="S38" s="12"/>
      <c r="T38" s="13"/>
      <c r="U38" s="7"/>
      <c r="V38" s="7"/>
      <c r="W38" s="7"/>
      <c r="X38" s="7"/>
      <c r="Y38" s="7"/>
    </row>
    <row r="39" ht="15.0" customHeight="1">
      <c r="A39" s="215" t="s">
        <v>872</v>
      </c>
      <c r="B39" s="211">
        <v>0.0</v>
      </c>
      <c r="D39" s="31"/>
      <c r="E39" s="215" t="s">
        <v>873</v>
      </c>
      <c r="F39" s="212">
        <f t="shared" si="8"/>
        <v>0.1666666667</v>
      </c>
      <c r="H39" s="31"/>
      <c r="I39" s="215" t="s">
        <v>874</v>
      </c>
      <c r="J39" s="211">
        <v>0.0</v>
      </c>
      <c r="L39" s="31"/>
      <c r="M39" s="10"/>
      <c r="N39" s="10"/>
      <c r="O39" s="12"/>
      <c r="P39" s="12"/>
      <c r="Q39" s="12"/>
      <c r="R39" s="12"/>
      <c r="S39" s="12"/>
      <c r="T39" s="13"/>
      <c r="U39" s="7"/>
      <c r="V39" s="7"/>
      <c r="W39" s="7"/>
      <c r="X39" s="7"/>
      <c r="Y39" s="7"/>
    </row>
    <row r="40" ht="15.0" customHeight="1">
      <c r="A40" s="213" t="s">
        <v>875</v>
      </c>
      <c r="B40" s="216">
        <v>0.0</v>
      </c>
      <c r="D40" s="31"/>
      <c r="E40" s="213" t="s">
        <v>876</v>
      </c>
      <c r="F40" s="214">
        <f t="shared" si="8"/>
        <v>0.1666666667</v>
      </c>
      <c r="H40" s="31"/>
      <c r="I40" s="213" t="s">
        <v>877</v>
      </c>
      <c r="J40" s="216">
        <v>0.0</v>
      </c>
      <c r="L40" s="31"/>
      <c r="M40" s="10"/>
      <c r="N40" s="10"/>
      <c r="O40" s="12"/>
      <c r="P40" s="12"/>
      <c r="Q40" s="12"/>
      <c r="R40" s="12"/>
      <c r="S40" s="12"/>
      <c r="T40" s="13"/>
      <c r="U40" s="7"/>
      <c r="V40" s="7"/>
      <c r="W40" s="7"/>
      <c r="X40" s="7"/>
      <c r="Y40" s="7"/>
    </row>
    <row r="41" ht="15.0" customHeight="1">
      <c r="A41" s="215" t="s">
        <v>878</v>
      </c>
      <c r="B41" s="211">
        <v>0.0</v>
      </c>
      <c r="D41" s="31"/>
      <c r="E41" s="215" t="s">
        <v>879</v>
      </c>
      <c r="F41" s="212">
        <f t="shared" si="8"/>
        <v>0.1666666667</v>
      </c>
      <c r="H41" s="31"/>
      <c r="I41" s="215" t="s">
        <v>880</v>
      </c>
      <c r="J41" s="211">
        <v>0.0</v>
      </c>
      <c r="L41" s="31"/>
      <c r="M41" s="10"/>
      <c r="N41" s="10"/>
      <c r="O41" s="12"/>
      <c r="P41" s="12"/>
      <c r="Q41" s="12"/>
      <c r="R41" s="12"/>
      <c r="S41" s="12"/>
      <c r="T41" s="13"/>
      <c r="U41" s="7"/>
      <c r="V41" s="7"/>
      <c r="W41" s="7"/>
      <c r="X41" s="7"/>
      <c r="Y41" s="7"/>
    </row>
    <row r="42" ht="15.0" customHeight="1">
      <c r="A42" s="213" t="s">
        <v>881</v>
      </c>
      <c r="B42" s="214">
        <f>1/4</f>
        <v>0.25</v>
      </c>
      <c r="D42" s="31"/>
      <c r="E42" s="213" t="s">
        <v>882</v>
      </c>
      <c r="F42" s="214">
        <f t="shared" si="8"/>
        <v>0.1666666667</v>
      </c>
      <c r="H42" s="31"/>
      <c r="I42" s="213" t="s">
        <v>883</v>
      </c>
      <c r="J42" s="214">
        <f>13/100</f>
        <v>0.13</v>
      </c>
      <c r="L42" s="31"/>
      <c r="M42" s="10"/>
      <c r="N42" s="10"/>
      <c r="O42" s="12"/>
      <c r="P42" s="12"/>
      <c r="Q42" s="12"/>
      <c r="R42" s="12"/>
      <c r="S42" s="12"/>
      <c r="T42" s="13"/>
      <c r="U42" s="7"/>
      <c r="V42" s="7"/>
      <c r="W42" s="7"/>
      <c r="X42" s="7"/>
      <c r="Y42" s="7"/>
    </row>
    <row r="43" ht="15.0" customHeight="1">
      <c r="A43" s="10"/>
      <c r="B43" s="26"/>
      <c r="C43" s="41"/>
      <c r="D43" s="10"/>
      <c r="E43" s="10"/>
      <c r="F43" s="26"/>
      <c r="G43" s="41"/>
      <c r="H43" s="10"/>
      <c r="I43" s="10"/>
      <c r="J43" s="26"/>
      <c r="K43" s="41"/>
      <c r="L43" s="10"/>
      <c r="M43" s="10"/>
      <c r="N43" s="26"/>
      <c r="O43" s="27"/>
      <c r="P43" s="12"/>
      <c r="Q43" s="12"/>
      <c r="R43" s="27"/>
      <c r="S43" s="27"/>
      <c r="T43" s="13"/>
      <c r="U43" s="7"/>
      <c r="V43" s="7"/>
      <c r="W43" s="7"/>
      <c r="X43" s="7"/>
      <c r="Y43" s="7"/>
    </row>
    <row r="44" ht="15.75" customHeight="1">
      <c r="A44" s="28"/>
      <c r="B44" s="29" t="s">
        <v>13</v>
      </c>
      <c r="C44" s="30" t="s">
        <v>884</v>
      </c>
      <c r="D44" s="31"/>
      <c r="E44" s="28"/>
      <c r="F44" s="29" t="s">
        <v>13</v>
      </c>
      <c r="G44" s="30" t="s">
        <v>885</v>
      </c>
      <c r="H44" s="31"/>
      <c r="I44" s="28"/>
      <c r="J44" s="29" t="s">
        <v>13</v>
      </c>
      <c r="K44" s="30" t="s">
        <v>886</v>
      </c>
      <c r="L44" s="21"/>
      <c r="M44" s="28"/>
      <c r="N44" s="29" t="s">
        <v>13</v>
      </c>
      <c r="O44" s="43" t="s">
        <v>887</v>
      </c>
      <c r="P44" s="21"/>
      <c r="Q44" s="28"/>
      <c r="R44" s="29" t="s">
        <v>13</v>
      </c>
      <c r="S44" s="43" t="s">
        <v>888</v>
      </c>
      <c r="T44" s="96"/>
      <c r="U44" s="7"/>
      <c r="V44" s="7"/>
      <c r="W44" s="7"/>
      <c r="X44" s="7"/>
      <c r="Y44" s="7"/>
    </row>
    <row r="45" ht="17.25" customHeight="1">
      <c r="A45" s="208" t="s">
        <v>18</v>
      </c>
      <c r="B45" s="209">
        <f>AVERAGE(B46:B51)</f>
        <v>0.4074074074</v>
      </c>
      <c r="D45" s="31"/>
      <c r="E45" s="208" t="s">
        <v>18</v>
      </c>
      <c r="F45" s="209">
        <f>AVERAGE(F46:F51)</f>
        <v>0.1994444444</v>
      </c>
      <c r="H45" s="31"/>
      <c r="I45" s="208" t="s">
        <v>18</v>
      </c>
      <c r="J45" s="209">
        <f>AVERAGE(J46:J51)</f>
        <v>0.2444444444</v>
      </c>
      <c r="L45" s="21"/>
      <c r="M45" s="208" t="s">
        <v>18</v>
      </c>
      <c r="N45" s="209">
        <f>AVERAGE(N46:N51)</f>
        <v>0.05388888889</v>
      </c>
      <c r="P45" s="21"/>
      <c r="Q45" s="208" t="s">
        <v>18</v>
      </c>
      <c r="R45" s="209">
        <f>AVERAGE(R46:R51)</f>
        <v>0.1359343434</v>
      </c>
      <c r="T45" s="96"/>
      <c r="U45" s="7"/>
      <c r="V45" s="7"/>
      <c r="W45" s="7"/>
      <c r="X45" s="7"/>
      <c r="Y45" s="7"/>
    </row>
    <row r="46" ht="15.0" customHeight="1">
      <c r="A46" s="210" t="s">
        <v>19</v>
      </c>
      <c r="B46" s="212">
        <f t="shared" ref="B46:B48" si="9">1/2</f>
        <v>0.5</v>
      </c>
      <c r="D46" s="31"/>
      <c r="E46" s="210" t="s">
        <v>19</v>
      </c>
      <c r="F46" s="212">
        <f t="shared" ref="F46:F47" si="10">1/4</f>
        <v>0.25</v>
      </c>
      <c r="H46" s="31"/>
      <c r="I46" s="210" t="s">
        <v>19</v>
      </c>
      <c r="J46" s="212">
        <f t="shared" ref="J46:J49" si="11">1/5</f>
        <v>0.2</v>
      </c>
      <c r="L46" s="21"/>
      <c r="M46" s="210" t="s">
        <v>19</v>
      </c>
      <c r="N46" s="212">
        <f>2/25</f>
        <v>0.08</v>
      </c>
      <c r="P46" s="21"/>
      <c r="Q46" s="210" t="s">
        <v>19</v>
      </c>
      <c r="R46" s="212">
        <f t="shared" ref="R46:R47" si="12">1/33</f>
        <v>0.0303030303</v>
      </c>
      <c r="T46" s="96"/>
      <c r="U46" s="7"/>
      <c r="V46" s="7"/>
      <c r="W46" s="7"/>
      <c r="X46" s="7"/>
      <c r="Y46" s="7"/>
    </row>
    <row r="47" ht="15.0" customHeight="1">
      <c r="A47" s="213" t="s">
        <v>889</v>
      </c>
      <c r="B47" s="214">
        <f t="shared" si="9"/>
        <v>0.5</v>
      </c>
      <c r="D47" s="31"/>
      <c r="E47" s="213" t="s">
        <v>890</v>
      </c>
      <c r="F47" s="214">
        <f t="shared" si="10"/>
        <v>0.25</v>
      </c>
      <c r="H47" s="31"/>
      <c r="I47" s="213" t="s">
        <v>891</v>
      </c>
      <c r="J47" s="214">
        <f t="shared" si="11"/>
        <v>0.2</v>
      </c>
      <c r="L47" s="21"/>
      <c r="M47" s="213" t="s">
        <v>892</v>
      </c>
      <c r="N47" s="214">
        <f>7/100</f>
        <v>0.07</v>
      </c>
      <c r="P47" s="21"/>
      <c r="Q47" s="213" t="s">
        <v>893</v>
      </c>
      <c r="R47" s="214">
        <f t="shared" si="12"/>
        <v>0.0303030303</v>
      </c>
      <c r="T47" s="96"/>
      <c r="U47" s="7"/>
      <c r="V47" s="7"/>
      <c r="W47" s="7"/>
      <c r="X47" s="7"/>
      <c r="Y47" s="7"/>
    </row>
    <row r="48" ht="15.0" customHeight="1">
      <c r="A48" s="215" t="s">
        <v>894</v>
      </c>
      <c r="B48" s="212">
        <f t="shared" si="9"/>
        <v>0.5</v>
      </c>
      <c r="D48" s="31"/>
      <c r="E48" s="215" t="s">
        <v>895</v>
      </c>
      <c r="F48" s="212">
        <f>1/6</f>
        <v>0.1666666667</v>
      </c>
      <c r="H48" s="31"/>
      <c r="I48" s="215" t="s">
        <v>896</v>
      </c>
      <c r="J48" s="212">
        <f t="shared" si="11"/>
        <v>0.2</v>
      </c>
      <c r="L48" s="21"/>
      <c r="M48" s="215" t="s">
        <v>897</v>
      </c>
      <c r="N48" s="212">
        <f>3/50</f>
        <v>0.06</v>
      </c>
      <c r="P48" s="21"/>
      <c r="Q48" s="215" t="s">
        <v>898</v>
      </c>
      <c r="R48" s="212">
        <f>1/40</f>
        <v>0.025</v>
      </c>
      <c r="T48" s="96"/>
      <c r="U48" s="7"/>
      <c r="V48" s="7"/>
      <c r="W48" s="7"/>
      <c r="X48" s="7"/>
      <c r="Y48" s="7"/>
    </row>
    <row r="49" ht="15.0" customHeight="1">
      <c r="A49" s="213" t="s">
        <v>899</v>
      </c>
      <c r="B49" s="214">
        <f>1/3</f>
        <v>0.3333333333</v>
      </c>
      <c r="D49" s="31"/>
      <c r="E49" s="213" t="s">
        <v>900</v>
      </c>
      <c r="F49" s="214">
        <f t="shared" ref="F49:F50" si="13">1/4</f>
        <v>0.25</v>
      </c>
      <c r="H49" s="31"/>
      <c r="I49" s="213" t="s">
        <v>901</v>
      </c>
      <c r="J49" s="214">
        <f t="shared" si="11"/>
        <v>0.2</v>
      </c>
      <c r="L49" s="21"/>
      <c r="M49" s="213" t="s">
        <v>902</v>
      </c>
      <c r="N49" s="214">
        <f>1/20</f>
        <v>0.05</v>
      </c>
      <c r="P49" s="21"/>
      <c r="Q49" s="213" t="s">
        <v>903</v>
      </c>
      <c r="R49" s="214">
        <f>1/20</f>
        <v>0.05</v>
      </c>
      <c r="T49" s="96"/>
      <c r="U49" s="7"/>
      <c r="V49" s="7"/>
      <c r="W49" s="7"/>
      <c r="X49" s="7"/>
      <c r="Y49" s="7"/>
    </row>
    <row r="50" ht="15.0" customHeight="1">
      <c r="A50" s="215" t="s">
        <v>904</v>
      </c>
      <c r="B50" s="212">
        <f>1/2</f>
        <v>0.5</v>
      </c>
      <c r="D50" s="31"/>
      <c r="E50" s="215" t="s">
        <v>905</v>
      </c>
      <c r="F50" s="212">
        <f t="shared" si="13"/>
        <v>0.25</v>
      </c>
      <c r="H50" s="31"/>
      <c r="I50" s="215" t="s">
        <v>906</v>
      </c>
      <c r="J50" s="212">
        <f t="shared" ref="J50:J51" si="14">1/3</f>
        <v>0.3333333333</v>
      </c>
      <c r="L50" s="21"/>
      <c r="M50" s="215" t="s">
        <v>907</v>
      </c>
      <c r="N50" s="212">
        <f>3/100</f>
        <v>0.03</v>
      </c>
      <c r="P50" s="21"/>
      <c r="Q50" s="215" t="s">
        <v>908</v>
      </c>
      <c r="R50" s="212">
        <f>2/5</f>
        <v>0.4</v>
      </c>
      <c r="T50" s="96"/>
      <c r="U50" s="7"/>
      <c r="V50" s="7"/>
      <c r="W50" s="7"/>
      <c r="X50" s="7"/>
      <c r="Y50" s="7"/>
    </row>
    <row r="51" ht="15.0" customHeight="1">
      <c r="A51" s="213" t="s">
        <v>909</v>
      </c>
      <c r="B51" s="214">
        <f>1/9</f>
        <v>0.1111111111</v>
      </c>
      <c r="D51" s="31"/>
      <c r="E51" s="213" t="s">
        <v>910</v>
      </c>
      <c r="F51" s="214">
        <f>3/100</f>
        <v>0.03</v>
      </c>
      <c r="H51" s="31"/>
      <c r="I51" s="213" t="s">
        <v>911</v>
      </c>
      <c r="J51" s="214">
        <f t="shared" si="14"/>
        <v>0.3333333333</v>
      </c>
      <c r="L51" s="21"/>
      <c r="M51" s="213" t="s">
        <v>912</v>
      </c>
      <c r="N51" s="214">
        <f>1/30</f>
        <v>0.03333333333</v>
      </c>
      <c r="P51" s="21"/>
      <c r="Q51" s="213" t="s">
        <v>913</v>
      </c>
      <c r="R51" s="214">
        <f>7/25</f>
        <v>0.28</v>
      </c>
      <c r="T51" s="96"/>
      <c r="U51" s="7"/>
      <c r="V51" s="7"/>
      <c r="W51" s="7"/>
      <c r="X51" s="7"/>
      <c r="Y51" s="7"/>
    </row>
    <row r="52" ht="15.0" customHeight="1">
      <c r="A52" s="10"/>
      <c r="B52" s="26"/>
      <c r="C52" s="41"/>
      <c r="D52" s="10"/>
      <c r="E52" s="10"/>
      <c r="F52" s="26"/>
      <c r="G52" s="41"/>
      <c r="H52" s="10"/>
      <c r="I52" s="10"/>
      <c r="J52" s="26"/>
      <c r="K52" s="41"/>
      <c r="L52" s="10"/>
      <c r="M52" s="10"/>
      <c r="N52" s="10"/>
      <c r="O52" s="48"/>
      <c r="P52" s="12"/>
      <c r="Q52" s="12"/>
      <c r="R52" s="12"/>
      <c r="S52" s="48"/>
      <c r="T52" s="13"/>
      <c r="U52" s="7"/>
      <c r="V52" s="7"/>
      <c r="W52" s="7"/>
      <c r="X52" s="7"/>
      <c r="Y52" s="7"/>
    </row>
    <row r="53" ht="15.75" customHeight="1">
      <c r="A53" s="28"/>
      <c r="B53" s="29" t="s">
        <v>13</v>
      </c>
      <c r="C53" s="30" t="s">
        <v>914</v>
      </c>
      <c r="D53" s="31"/>
      <c r="E53" s="28"/>
      <c r="F53" s="29" t="s">
        <v>13</v>
      </c>
      <c r="G53" s="30" t="s">
        <v>915</v>
      </c>
      <c r="H53" s="31"/>
      <c r="I53" s="28"/>
      <c r="J53" s="29" t="s">
        <v>13</v>
      </c>
      <c r="K53" s="30" t="s">
        <v>916</v>
      </c>
      <c r="L53" s="31"/>
      <c r="M53" s="10"/>
      <c r="N53" s="10"/>
      <c r="O53" s="12"/>
      <c r="P53" s="12"/>
      <c r="Q53" s="12"/>
      <c r="R53" s="12"/>
      <c r="S53" s="12"/>
      <c r="T53" s="13"/>
      <c r="U53" s="7"/>
      <c r="V53" s="7"/>
      <c r="W53" s="7"/>
      <c r="X53" s="7"/>
      <c r="Y53" s="7"/>
    </row>
    <row r="54" ht="17.25" customHeight="1">
      <c r="A54" s="208" t="s">
        <v>18</v>
      </c>
      <c r="B54" s="209">
        <f>AVERAGE(B55:B60)</f>
        <v>0</v>
      </c>
      <c r="D54" s="31"/>
      <c r="E54" s="208" t="s">
        <v>18</v>
      </c>
      <c r="F54" s="209">
        <f>AVERAGE(F55:F60)</f>
        <v>0</v>
      </c>
      <c r="H54" s="31"/>
      <c r="I54" s="208" t="s">
        <v>18</v>
      </c>
      <c r="J54" s="209">
        <f>AVERAGE(J55:J60)</f>
        <v>0.01666666667</v>
      </c>
      <c r="L54" s="31"/>
      <c r="M54" s="10"/>
      <c r="N54" s="10"/>
      <c r="O54" s="12"/>
      <c r="P54" s="12"/>
      <c r="Q54" s="12"/>
      <c r="R54" s="12"/>
      <c r="S54" s="12"/>
      <c r="T54" s="13"/>
      <c r="U54" s="7"/>
      <c r="V54" s="7"/>
      <c r="W54" s="7"/>
      <c r="X54" s="7"/>
      <c r="Y54" s="7"/>
    </row>
    <row r="55" ht="15.0" customHeight="1">
      <c r="A55" s="210" t="s">
        <v>19</v>
      </c>
      <c r="B55" s="211">
        <v>0.0</v>
      </c>
      <c r="D55" s="31"/>
      <c r="E55" s="210" t="s">
        <v>19</v>
      </c>
      <c r="F55" s="211">
        <v>0.0</v>
      </c>
      <c r="H55" s="31"/>
      <c r="I55" s="210" t="s">
        <v>19</v>
      </c>
      <c r="J55" s="211">
        <v>0.0</v>
      </c>
      <c r="L55" s="31"/>
      <c r="M55" s="10"/>
      <c r="N55" s="10"/>
      <c r="O55" s="12"/>
      <c r="P55" s="12"/>
      <c r="Q55" s="12"/>
      <c r="R55" s="12"/>
      <c r="S55" s="12"/>
      <c r="T55" s="13"/>
      <c r="U55" s="7"/>
      <c r="V55" s="7"/>
      <c r="W55" s="7"/>
      <c r="X55" s="7"/>
      <c r="Y55" s="7"/>
    </row>
    <row r="56" ht="15.0" customHeight="1">
      <c r="A56" s="213" t="s">
        <v>917</v>
      </c>
      <c r="B56" s="216">
        <v>0.0</v>
      </c>
      <c r="D56" s="31"/>
      <c r="E56" s="213" t="s">
        <v>918</v>
      </c>
      <c r="F56" s="216">
        <v>0.0</v>
      </c>
      <c r="H56" s="31"/>
      <c r="I56" s="213" t="s">
        <v>919</v>
      </c>
      <c r="J56" s="214">
        <f>1/10</f>
        <v>0.1</v>
      </c>
      <c r="L56" s="31"/>
      <c r="M56" s="10"/>
      <c r="N56" s="10"/>
      <c r="O56" s="12"/>
      <c r="P56" s="12"/>
      <c r="Q56" s="12"/>
      <c r="R56" s="12"/>
      <c r="S56" s="12"/>
      <c r="T56" s="13"/>
      <c r="U56" s="7"/>
      <c r="V56" s="7"/>
      <c r="W56" s="7"/>
      <c r="X56" s="7"/>
      <c r="Y56" s="7"/>
    </row>
    <row r="57" ht="15.0" customHeight="1">
      <c r="A57" s="215" t="s">
        <v>920</v>
      </c>
      <c r="B57" s="211">
        <v>0.0</v>
      </c>
      <c r="D57" s="31"/>
      <c r="E57" s="215" t="s">
        <v>921</v>
      </c>
      <c r="F57" s="211">
        <v>0.0</v>
      </c>
      <c r="H57" s="31"/>
      <c r="I57" s="215" t="s">
        <v>922</v>
      </c>
      <c r="J57" s="211">
        <v>0.0</v>
      </c>
      <c r="L57" s="31"/>
      <c r="M57" s="10"/>
      <c r="N57" s="10"/>
      <c r="O57" s="12"/>
      <c r="P57" s="12"/>
      <c r="Q57" s="12"/>
      <c r="R57" s="12"/>
      <c r="S57" s="12"/>
      <c r="T57" s="13"/>
      <c r="U57" s="7"/>
      <c r="V57" s="7"/>
      <c r="W57" s="7"/>
      <c r="X57" s="7"/>
      <c r="Y57" s="7"/>
    </row>
    <row r="58" ht="15.0" customHeight="1">
      <c r="A58" s="213" t="s">
        <v>923</v>
      </c>
      <c r="B58" s="216">
        <v>0.0</v>
      </c>
      <c r="D58" s="31"/>
      <c r="E58" s="213" t="s">
        <v>924</v>
      </c>
      <c r="F58" s="216">
        <v>0.0</v>
      </c>
      <c r="H58" s="31"/>
      <c r="I58" s="213" t="s">
        <v>925</v>
      </c>
      <c r="J58" s="216">
        <v>0.0</v>
      </c>
      <c r="L58" s="31"/>
      <c r="M58" s="10"/>
      <c r="N58" s="10"/>
      <c r="O58" s="12"/>
      <c r="P58" s="12"/>
      <c r="Q58" s="12"/>
      <c r="R58" s="12"/>
      <c r="S58" s="12"/>
      <c r="T58" s="13"/>
      <c r="U58" s="7"/>
      <c r="V58" s="7"/>
      <c r="W58" s="7"/>
      <c r="X58" s="7"/>
      <c r="Y58" s="7"/>
    </row>
    <row r="59" ht="15.0" customHeight="1">
      <c r="A59" s="215" t="s">
        <v>926</v>
      </c>
      <c r="B59" s="211">
        <v>0.0</v>
      </c>
      <c r="D59" s="31"/>
      <c r="E59" s="215" t="s">
        <v>927</v>
      </c>
      <c r="F59" s="211">
        <v>0.0</v>
      </c>
      <c r="H59" s="31"/>
      <c r="I59" s="215" t="s">
        <v>928</v>
      </c>
      <c r="J59" s="211">
        <v>0.0</v>
      </c>
      <c r="L59" s="31"/>
      <c r="M59" s="10"/>
      <c r="N59" s="10"/>
      <c r="O59" s="12"/>
      <c r="P59" s="12"/>
      <c r="Q59" s="12"/>
      <c r="R59" s="12"/>
      <c r="S59" s="12"/>
      <c r="T59" s="13"/>
      <c r="U59" s="7"/>
      <c r="V59" s="7"/>
      <c r="W59" s="7"/>
      <c r="X59" s="7"/>
      <c r="Y59" s="7"/>
    </row>
    <row r="60" ht="15.0" customHeight="1">
      <c r="A60" s="213" t="s">
        <v>929</v>
      </c>
      <c r="B60" s="216">
        <v>0.0</v>
      </c>
      <c r="D60" s="31"/>
      <c r="E60" s="213" t="s">
        <v>930</v>
      </c>
      <c r="F60" s="216">
        <v>0.0</v>
      </c>
      <c r="H60" s="31"/>
      <c r="I60" s="213" t="s">
        <v>931</v>
      </c>
      <c r="J60" s="216">
        <v>0.0</v>
      </c>
      <c r="L60" s="31"/>
      <c r="M60" s="10"/>
      <c r="N60" s="10"/>
      <c r="O60" s="12"/>
      <c r="P60" s="12"/>
      <c r="Q60" s="12"/>
      <c r="R60" s="12"/>
      <c r="S60" s="12"/>
      <c r="T60" s="13"/>
      <c r="U60" s="7"/>
      <c r="V60" s="7"/>
      <c r="W60" s="7"/>
      <c r="X60" s="7"/>
      <c r="Y60" s="7"/>
    </row>
    <row r="61" ht="15.0" customHeight="1">
      <c r="A61" s="12"/>
      <c r="B61" s="12"/>
      <c r="C61" s="48"/>
      <c r="D61" s="12"/>
      <c r="E61" s="12"/>
      <c r="F61" s="12"/>
      <c r="G61" s="48"/>
      <c r="H61" s="12"/>
      <c r="I61" s="12"/>
      <c r="J61" s="12"/>
      <c r="K61" s="48"/>
      <c r="L61" s="12"/>
      <c r="M61" s="12"/>
      <c r="N61" s="12"/>
      <c r="O61" s="12"/>
      <c r="P61" s="12"/>
      <c r="Q61" s="12"/>
      <c r="R61" s="12"/>
      <c r="S61" s="12"/>
      <c r="T61" s="13"/>
      <c r="U61" s="7"/>
      <c r="V61" s="7"/>
      <c r="W61" s="7"/>
      <c r="X61" s="7"/>
      <c r="Y61" s="7"/>
    </row>
    <row r="62" ht="15.0" customHeight="1">
      <c r="A62" s="12"/>
      <c r="B62" s="12"/>
      <c r="C62" s="12"/>
      <c r="D62" s="12"/>
      <c r="E62" s="12"/>
      <c r="F62" s="12"/>
      <c r="G62" s="12"/>
      <c r="H62" s="12"/>
      <c r="I62" s="12"/>
      <c r="J62" s="12"/>
      <c r="K62" s="12"/>
      <c r="L62" s="12"/>
      <c r="M62" s="12"/>
      <c r="N62" s="12"/>
      <c r="O62" s="12"/>
      <c r="P62" s="12"/>
      <c r="Q62" s="12"/>
      <c r="R62" s="12"/>
      <c r="S62" s="12"/>
      <c r="T62" s="13"/>
      <c r="U62" s="7"/>
      <c r="V62" s="7"/>
      <c r="W62" s="7"/>
      <c r="X62" s="7"/>
      <c r="Y62" s="7"/>
    </row>
    <row r="63" ht="15.0" customHeight="1">
      <c r="A63" s="12"/>
      <c r="B63" s="12"/>
      <c r="C63" s="12"/>
      <c r="D63" s="12"/>
      <c r="E63" s="12"/>
      <c r="F63" s="12"/>
      <c r="G63" s="12"/>
      <c r="H63" s="12"/>
      <c r="I63" s="12"/>
      <c r="J63" s="12"/>
      <c r="K63" s="12"/>
      <c r="L63" s="12"/>
      <c r="M63" s="12"/>
      <c r="N63" s="12"/>
      <c r="O63" s="12"/>
      <c r="P63" s="12"/>
      <c r="Q63" s="12"/>
      <c r="R63" s="12"/>
      <c r="S63" s="12"/>
      <c r="T63" s="13"/>
      <c r="U63" s="7"/>
      <c r="V63" s="7"/>
      <c r="W63" s="7"/>
      <c r="X63" s="7"/>
      <c r="Y63" s="7"/>
    </row>
    <row r="64" ht="15.0" customHeight="1">
      <c r="A64" s="27"/>
      <c r="B64" s="27"/>
      <c r="C64" s="27"/>
      <c r="D64" s="27"/>
      <c r="E64" s="27"/>
      <c r="F64" s="27"/>
      <c r="G64" s="27"/>
      <c r="H64" s="27"/>
      <c r="I64" s="27"/>
      <c r="J64" s="27"/>
      <c r="K64" s="27"/>
      <c r="L64" s="27"/>
      <c r="M64" s="27"/>
      <c r="N64" s="27"/>
      <c r="O64" s="27"/>
      <c r="P64" s="27"/>
      <c r="Q64" s="27"/>
      <c r="R64" s="27"/>
      <c r="S64" s="27"/>
      <c r="T64" s="52"/>
      <c r="U64" s="17"/>
      <c r="V64" s="17"/>
      <c r="W64" s="17"/>
      <c r="X64" s="17"/>
      <c r="Y64" s="17"/>
    </row>
    <row r="65" ht="17.25" customHeight="1">
      <c r="A65" s="129" t="s">
        <v>932</v>
      </c>
      <c r="Q65" s="54"/>
      <c r="R65" s="54"/>
      <c r="S65" s="54"/>
      <c r="T65" s="54"/>
    </row>
    <row r="66" ht="15.0" customHeight="1">
      <c r="A66" s="53" t="s">
        <v>933</v>
      </c>
      <c r="Q66" s="54"/>
      <c r="R66" s="54"/>
      <c r="S66" s="54"/>
      <c r="T66" s="54"/>
    </row>
    <row r="67" ht="15.0" customHeight="1">
      <c r="A67" s="53" t="s">
        <v>934</v>
      </c>
      <c r="Q67" s="54"/>
      <c r="R67" s="54"/>
      <c r="S67" s="54"/>
      <c r="T67" s="54"/>
    </row>
    <row r="68" ht="15.0" customHeight="1">
      <c r="A68" s="53" t="s">
        <v>935</v>
      </c>
      <c r="Q68" s="54"/>
      <c r="R68" s="54"/>
      <c r="S68" s="54"/>
      <c r="T68" s="54"/>
    </row>
    <row r="69" ht="15.0" customHeight="1">
      <c r="A69" s="53" t="s">
        <v>936</v>
      </c>
      <c r="Q69" s="54"/>
      <c r="R69" s="54"/>
      <c r="S69" s="54"/>
      <c r="T69" s="54"/>
    </row>
    <row r="70" ht="15.0" customHeight="1">
      <c r="A70" s="54"/>
      <c r="Q70" s="54"/>
      <c r="R70" s="54"/>
      <c r="S70" s="54"/>
      <c r="T70" s="54"/>
    </row>
  </sheetData>
  <mergeCells count="37">
    <mergeCell ref="A1:Y1"/>
    <mergeCell ref="A2:Y2"/>
    <mergeCell ref="A3:T3"/>
    <mergeCell ref="B4:F4"/>
    <mergeCell ref="G4:I4"/>
    <mergeCell ref="B5:F5"/>
    <mergeCell ref="G5:J6"/>
    <mergeCell ref="O8:O15"/>
    <mergeCell ref="O17:O24"/>
    <mergeCell ref="O26:O33"/>
    <mergeCell ref="O44:O51"/>
    <mergeCell ref="G17:G24"/>
    <mergeCell ref="G26:G33"/>
    <mergeCell ref="G35:G42"/>
    <mergeCell ref="G44:G51"/>
    <mergeCell ref="G53:G60"/>
    <mergeCell ref="C26:C33"/>
    <mergeCell ref="C35:C42"/>
    <mergeCell ref="C44:C51"/>
    <mergeCell ref="C53:C60"/>
    <mergeCell ref="B6:F6"/>
    <mergeCell ref="C8:C15"/>
    <mergeCell ref="G8:G15"/>
    <mergeCell ref="K8:K15"/>
    <mergeCell ref="C17:C24"/>
    <mergeCell ref="K17:K24"/>
    <mergeCell ref="K26:K33"/>
    <mergeCell ref="A68:P68"/>
    <mergeCell ref="A69:P69"/>
    <mergeCell ref="A70:P70"/>
    <mergeCell ref="K35:K42"/>
    <mergeCell ref="K44:K51"/>
    <mergeCell ref="S44:S51"/>
    <mergeCell ref="K53:K60"/>
    <mergeCell ref="A65:P65"/>
    <mergeCell ref="A66:P66"/>
    <mergeCell ref="A67:P67"/>
  </mergeCells>
  <hyperlinks>
    <hyperlink r:id="rId1" ref="G5"/>
    <hyperlink r:id="rId2" ref="M5"/>
  </hyperlinks>
  <drawing r:id="rId3"/>
</worksheet>
</file>