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filterPrivacy="1" defaultThemeVersion="166925"/>
  <xr:revisionPtr revIDLastSave="0" documentId="8_{F48F8842-98C1-4A6B-83FF-4CA0A92689EC}" xr6:coauthVersionLast="45" xr6:coauthVersionMax="45" xr10:uidLastSave="{00000000-0000-0000-0000-000000000000}"/>
  <bookViews>
    <workbookView xWindow="-110" yWindow="-110" windowWidth="19420" windowHeight="10420" xr2:uid="{7DB8FD3D-0037-45C3-AFB0-EEA7B912FC3B}"/>
  </bookViews>
  <sheets>
    <sheet name="Welcome" sheetId="24" r:id="rId1"/>
    <sheet name="Instructions" sheetId="28" r:id="rId2"/>
    <sheet name="Snapshot" sheetId="13" r:id="rId3"/>
    <sheet name="Transactions" sheetId="4" r:id="rId4"/>
    <sheet name="Categories" sheetId="12" r:id="rId5"/>
  </sheets>
  <definedNames>
    <definedName name="Categories">OFFSET(Categories!$J$7,0,0,COUNTIF(Categories!$J$7:$J$44,"&lt;&gt;"&amp;"--"),1)</definedName>
    <definedName name="Months">OFFSET(Snapshot!$V$7,0,0,COUNTIF(Snapshot!$V$7:$V$200,"&lt;&gt;"&amp;"--"),1)</definedName>
    <definedName name="snapshot_month">Snapshot!$Q$4</definedName>
    <definedName name="user_custom_categories">Categories!$C$25:$E$44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200" i="13" l="1"/>
  <c r="V106" i="13"/>
  <c r="V107" i="13"/>
  <c r="V108" i="13"/>
  <c r="V109" i="13"/>
  <c r="V110" i="13"/>
  <c r="V111" i="13"/>
  <c r="V112" i="13"/>
  <c r="V113" i="13"/>
  <c r="V114" i="13"/>
  <c r="V115" i="13"/>
  <c r="V116" i="13"/>
  <c r="V117" i="13"/>
  <c r="V118" i="13"/>
  <c r="V119" i="13"/>
  <c r="V120" i="13"/>
  <c r="V121" i="13"/>
  <c r="V122" i="13"/>
  <c r="V123" i="13"/>
  <c r="V124" i="13"/>
  <c r="V125" i="13"/>
  <c r="V126" i="13"/>
  <c r="V127" i="13"/>
  <c r="V128" i="13"/>
  <c r="V129" i="13"/>
  <c r="V130" i="13"/>
  <c r="V131" i="13"/>
  <c r="V132" i="13"/>
  <c r="V133" i="13"/>
  <c r="V134" i="13"/>
  <c r="V135" i="13"/>
  <c r="V136" i="13"/>
  <c r="V137" i="13"/>
  <c r="V138" i="13"/>
  <c r="V139" i="13"/>
  <c r="V140" i="13"/>
  <c r="V141" i="13"/>
  <c r="V142" i="13"/>
  <c r="V143" i="13"/>
  <c r="V144" i="13"/>
  <c r="V145" i="13"/>
  <c r="V146" i="13"/>
  <c r="V147" i="13"/>
  <c r="V148" i="13"/>
  <c r="V149" i="13"/>
  <c r="V150" i="13"/>
  <c r="V151" i="13"/>
  <c r="V152" i="13"/>
  <c r="V153" i="13"/>
  <c r="V154" i="13"/>
  <c r="V155" i="13"/>
  <c r="V156" i="13"/>
  <c r="V157" i="13"/>
  <c r="V158" i="13"/>
  <c r="V159" i="13"/>
  <c r="V160" i="13"/>
  <c r="V161" i="13"/>
  <c r="V162" i="13"/>
  <c r="V163" i="13"/>
  <c r="V164" i="13"/>
  <c r="V165" i="13"/>
  <c r="V166" i="13"/>
  <c r="V167" i="13"/>
  <c r="V168" i="13"/>
  <c r="V169" i="13"/>
  <c r="V170" i="13"/>
  <c r="V171" i="13"/>
  <c r="V172" i="13"/>
  <c r="V173" i="13"/>
  <c r="V174" i="13"/>
  <c r="V175" i="13"/>
  <c r="V176" i="13"/>
  <c r="V177" i="13"/>
  <c r="V178" i="13"/>
  <c r="V179" i="13"/>
  <c r="V180" i="13"/>
  <c r="V181" i="13"/>
  <c r="V182" i="13"/>
  <c r="V183" i="13"/>
  <c r="V184" i="13"/>
  <c r="V185" i="13"/>
  <c r="V186" i="13"/>
  <c r="V187" i="13"/>
  <c r="V188" i="13"/>
  <c r="V189" i="13"/>
  <c r="V190" i="13"/>
  <c r="V191" i="13"/>
  <c r="V192" i="13"/>
  <c r="V193" i="13"/>
  <c r="V194" i="13"/>
  <c r="V195" i="13"/>
  <c r="V196" i="13"/>
  <c r="V197" i="13"/>
  <c r="V198" i="13"/>
  <c r="V199" i="13"/>
  <c r="V100" i="13"/>
  <c r="V101" i="13"/>
  <c r="V102" i="13"/>
  <c r="V103" i="13"/>
  <c r="V104" i="13"/>
  <c r="V105" i="13"/>
  <c r="V65" i="13"/>
  <c r="V66" i="13"/>
  <c r="V67" i="13"/>
  <c r="V68" i="13"/>
  <c r="V69" i="13"/>
  <c r="V70" i="13"/>
  <c r="V71" i="13"/>
  <c r="V72" i="13"/>
  <c r="V73" i="13"/>
  <c r="V74" i="13"/>
  <c r="V75" i="13"/>
  <c r="V76" i="13"/>
  <c r="V77" i="13"/>
  <c r="V78" i="13"/>
  <c r="V79" i="13"/>
  <c r="V80" i="13"/>
  <c r="V81" i="13"/>
  <c r="V82" i="13"/>
  <c r="V83" i="13"/>
  <c r="V84" i="13"/>
  <c r="V85" i="13"/>
  <c r="V86" i="13"/>
  <c r="V87" i="13"/>
  <c r="V88" i="13"/>
  <c r="V89" i="13"/>
  <c r="V90" i="13"/>
  <c r="V91" i="13"/>
  <c r="V92" i="13"/>
  <c r="V93" i="13"/>
  <c r="V94" i="13"/>
  <c r="V95" i="13"/>
  <c r="V96" i="13"/>
  <c r="V97" i="13"/>
  <c r="V98" i="13"/>
  <c r="V99" i="13"/>
  <c r="V43" i="13"/>
  <c r="V44" i="13"/>
  <c r="V45" i="13"/>
  <c r="V46" i="13"/>
  <c r="V47" i="13"/>
  <c r="V48" i="13"/>
  <c r="V49" i="13"/>
  <c r="V50" i="13"/>
  <c r="V51" i="13"/>
  <c r="V52" i="13"/>
  <c r="V53" i="13"/>
  <c r="V54" i="13"/>
  <c r="V55" i="13"/>
  <c r="V56" i="13"/>
  <c r="V57" i="13"/>
  <c r="V58" i="13"/>
  <c r="V59" i="13"/>
  <c r="V60" i="13"/>
  <c r="V61" i="13"/>
  <c r="V62" i="13"/>
  <c r="V63" i="13"/>
  <c r="V64" i="13"/>
  <c r="G23" i="12" l="1"/>
  <c r="G24" i="12"/>
  <c r="G25" i="12"/>
  <c r="H25" i="12" s="1"/>
  <c r="G26" i="12"/>
  <c r="H26" i="12" s="1"/>
  <c r="G27" i="12"/>
  <c r="G28" i="12"/>
  <c r="G29" i="12"/>
  <c r="H29" i="12" s="1"/>
  <c r="G30" i="12"/>
  <c r="G31" i="12"/>
  <c r="G32" i="12"/>
  <c r="G33" i="12"/>
  <c r="H33" i="12" s="1"/>
  <c r="G34" i="12"/>
  <c r="H34" i="12" s="1"/>
  <c r="G35" i="12"/>
  <c r="G36" i="12"/>
  <c r="G37" i="12"/>
  <c r="G38" i="12"/>
  <c r="H38" i="12" s="1"/>
  <c r="G39" i="12"/>
  <c r="H39" i="12" s="1"/>
  <c r="G40" i="12"/>
  <c r="G41" i="12"/>
  <c r="G42" i="12"/>
  <c r="H42" i="12" s="1"/>
  <c r="G43" i="12"/>
  <c r="G44" i="12"/>
  <c r="G22" i="12"/>
  <c r="G21" i="12"/>
  <c r="G20" i="12"/>
  <c r="G19" i="12"/>
  <c r="G18" i="12"/>
  <c r="G17" i="12"/>
  <c r="G16" i="12"/>
  <c r="G15" i="12"/>
  <c r="G14" i="12"/>
  <c r="G13" i="12"/>
  <c r="G12" i="12"/>
  <c r="G11" i="12"/>
  <c r="G10" i="12"/>
  <c r="G9" i="12"/>
  <c r="H9" i="12" s="1"/>
  <c r="G8" i="12"/>
  <c r="G7" i="12"/>
  <c r="H36" i="12"/>
  <c r="H15" i="12"/>
  <c r="H11" i="12"/>
  <c r="H37" i="12" l="1"/>
  <c r="H43" i="12"/>
  <c r="H31" i="12"/>
  <c r="H32" i="12"/>
  <c r="H35" i="12"/>
  <c r="H44" i="12"/>
  <c r="H40" i="12"/>
  <c r="H41" i="12"/>
  <c r="H27" i="12"/>
  <c r="H13" i="12"/>
  <c r="H17" i="12"/>
  <c r="H22" i="12"/>
  <c r="H21" i="12"/>
  <c r="H30" i="12"/>
  <c r="H19" i="12"/>
  <c r="H23" i="12"/>
  <c r="H16" i="12"/>
  <c r="H7" i="12"/>
  <c r="H20" i="12"/>
  <c r="H10" i="12"/>
  <c r="H18" i="12"/>
  <c r="H8" i="12"/>
  <c r="H12" i="12"/>
  <c r="H24" i="12"/>
  <c r="H28" i="12"/>
  <c r="H14" i="12"/>
  <c r="I42" i="12" l="1"/>
  <c r="J42" i="12" s="1" a="1"/>
  <c r="J42" i="12" s="1"/>
  <c r="I22" i="12"/>
  <c r="J22" i="12" s="1" a="1"/>
  <c r="J22" i="12" s="1"/>
  <c r="I19" i="12"/>
  <c r="J19" i="12" s="1" a="1"/>
  <c r="J19" i="12" s="1"/>
  <c r="I35" i="12"/>
  <c r="J35" i="12" s="1" a="1"/>
  <c r="J35" i="12" s="1"/>
  <c r="I10" i="12"/>
  <c r="J10" i="12" s="1" a="1"/>
  <c r="J10" i="12" s="1"/>
  <c r="I8" i="12"/>
  <c r="J8" i="12" s="1" a="1"/>
  <c r="J8" i="12" s="1"/>
  <c r="I24" i="12"/>
  <c r="J24" i="12" s="1" a="1"/>
  <c r="J24" i="12" s="1"/>
  <c r="I40" i="12"/>
  <c r="J40" i="12" s="1" a="1"/>
  <c r="J40" i="12" s="1"/>
  <c r="I25" i="12"/>
  <c r="J25" i="12" s="1" a="1"/>
  <c r="J25" i="12" s="1"/>
  <c r="I41" i="12"/>
  <c r="J41" i="12" s="1" a="1"/>
  <c r="J41" i="12" s="1"/>
  <c r="I30" i="12"/>
  <c r="J30" i="12" s="1" a="1"/>
  <c r="J30" i="12" s="1"/>
  <c r="I15" i="12"/>
  <c r="J15" i="12" s="1" a="1"/>
  <c r="J15" i="12" s="1"/>
  <c r="I17" i="12"/>
  <c r="J17" i="12" s="1" a="1"/>
  <c r="J17" i="12" s="1"/>
  <c r="I20" i="12"/>
  <c r="J20" i="12" s="1" a="1"/>
  <c r="J20" i="12" s="1"/>
  <c r="I21" i="12"/>
  <c r="J21" i="12" s="1" a="1"/>
  <c r="J21" i="12" s="1"/>
  <c r="I7" i="12"/>
  <c r="I23" i="12"/>
  <c r="J23" i="12" s="1" a="1"/>
  <c r="J23" i="12" s="1"/>
  <c r="I39" i="12"/>
  <c r="J39" i="12" s="1" a="1"/>
  <c r="J39" i="12" s="1"/>
  <c r="I18" i="12"/>
  <c r="J18" i="12" s="1" a="1"/>
  <c r="J18" i="12" s="1"/>
  <c r="I12" i="12"/>
  <c r="J12" i="12" s="1" a="1"/>
  <c r="J12" i="12" s="1"/>
  <c r="I28" i="12"/>
  <c r="J28" i="12" s="1" a="1"/>
  <c r="J28" i="12" s="1"/>
  <c r="I44" i="12"/>
  <c r="J44" i="12" s="1" a="1"/>
  <c r="J44" i="12" s="1"/>
  <c r="I29" i="12"/>
  <c r="J29" i="12" s="1" a="1"/>
  <c r="J29" i="12" s="1"/>
  <c r="I13" i="12"/>
  <c r="J13" i="12" s="1" a="1"/>
  <c r="J13" i="12" s="1"/>
  <c r="I34" i="12"/>
  <c r="J34" i="12" s="1" a="1"/>
  <c r="J34" i="12" s="1"/>
  <c r="I31" i="12"/>
  <c r="J31" i="12" s="1" a="1"/>
  <c r="J31" i="12" s="1"/>
  <c r="I38" i="12"/>
  <c r="J38" i="12" s="1" a="1"/>
  <c r="J38" i="12" s="1"/>
  <c r="I36" i="12"/>
  <c r="J36" i="12" s="1" a="1"/>
  <c r="J36" i="12" s="1"/>
  <c r="I37" i="12"/>
  <c r="J37" i="12" s="1" a="1"/>
  <c r="J37" i="12" s="1"/>
  <c r="I11" i="12"/>
  <c r="J11" i="12" s="1" a="1"/>
  <c r="J11" i="12" s="1"/>
  <c r="I27" i="12"/>
  <c r="J27" i="12" s="1" a="1"/>
  <c r="J27" i="12" s="1"/>
  <c r="I43" i="12"/>
  <c r="J43" i="12" s="1" a="1"/>
  <c r="J43" i="12" s="1"/>
  <c r="I26" i="12"/>
  <c r="J26" i="12" s="1" a="1"/>
  <c r="J26" i="12" s="1"/>
  <c r="I16" i="12"/>
  <c r="J16" i="12" s="1" a="1"/>
  <c r="J16" i="12" s="1"/>
  <c r="I32" i="12"/>
  <c r="J32" i="12" s="1" a="1"/>
  <c r="J32" i="12" s="1"/>
  <c r="I9" i="12"/>
  <c r="J9" i="12" s="1" a="1"/>
  <c r="J9" i="12" s="1"/>
  <c r="I33" i="12"/>
  <c r="J33" i="12" s="1" a="1"/>
  <c r="J33" i="12" s="1"/>
  <c r="I14" i="12"/>
  <c r="J14" i="12" s="1" a="1"/>
  <c r="J14" i="12" s="1"/>
  <c r="K7" i="12" l="1" a="1"/>
  <c r="K7" i="12" s="1"/>
  <c r="J7" i="12" a="1"/>
  <c r="J7" i="12" s="1"/>
  <c r="L7" i="4" a="1"/>
  <c r="L7" i="4" s="1"/>
  <c r="L8" i="4" a="1"/>
  <c r="L8" i="4" s="1"/>
  <c r="M7" i="4"/>
  <c r="N7" i="4"/>
  <c r="O7" i="4"/>
  <c r="P7" i="4"/>
  <c r="Q7" i="4" l="1"/>
  <c r="W7" i="13" s="1" a="1"/>
  <c r="W7" i="13" s="1"/>
  <c r="AV200" i="13"/>
  <c r="AV199" i="13"/>
  <c r="AV198" i="13"/>
  <c r="AV197" i="13"/>
  <c r="AV196" i="13"/>
  <c r="AV195" i="13"/>
  <c r="AV194" i="13"/>
  <c r="AV193" i="13"/>
  <c r="AV192" i="13"/>
  <c r="AV191" i="13"/>
  <c r="AV190" i="13"/>
  <c r="AV189" i="13"/>
  <c r="AV188" i="13"/>
  <c r="AV187" i="13"/>
  <c r="AV186" i="13"/>
  <c r="AV185" i="13"/>
  <c r="AV184" i="13"/>
  <c r="AV183" i="13"/>
  <c r="AV182" i="13"/>
  <c r="AV181" i="13"/>
  <c r="AV180" i="13"/>
  <c r="AV179" i="13"/>
  <c r="AV178" i="13"/>
  <c r="AV177" i="13"/>
  <c r="AV176" i="13"/>
  <c r="AV175" i="13"/>
  <c r="AV174" i="13"/>
  <c r="AV173" i="13"/>
  <c r="AV172" i="13"/>
  <c r="AV171" i="13"/>
  <c r="AV170" i="13"/>
  <c r="AV169" i="13"/>
  <c r="AV168" i="13"/>
  <c r="AV167" i="13"/>
  <c r="AV166" i="13"/>
  <c r="AV165" i="13"/>
  <c r="AV164" i="13"/>
  <c r="AV163" i="13"/>
  <c r="AV162" i="13"/>
  <c r="AV161" i="13"/>
  <c r="AV160" i="13"/>
  <c r="AV159" i="13"/>
  <c r="AV158" i="13"/>
  <c r="AV157" i="13"/>
  <c r="AV156" i="13"/>
  <c r="AV155" i="13"/>
  <c r="AV154" i="13"/>
  <c r="AV153" i="13"/>
  <c r="AV152" i="13"/>
  <c r="AV151" i="13"/>
  <c r="AV150" i="13"/>
  <c r="AV149" i="13"/>
  <c r="AV148" i="13"/>
  <c r="AV147" i="13"/>
  <c r="AV146" i="13"/>
  <c r="AV145" i="13"/>
  <c r="AV144" i="13"/>
  <c r="AV143" i="13"/>
  <c r="AV142" i="13"/>
  <c r="AV141" i="13"/>
  <c r="AV140" i="13"/>
  <c r="AV139" i="13"/>
  <c r="AV138" i="13"/>
  <c r="AV137" i="13"/>
  <c r="AV136" i="13"/>
  <c r="AV135" i="13"/>
  <c r="AV134" i="13"/>
  <c r="AV133" i="13"/>
  <c r="AV132" i="13"/>
  <c r="AV131" i="13"/>
  <c r="AV130" i="13"/>
  <c r="AV129" i="13"/>
  <c r="AV128" i="13"/>
  <c r="AV127" i="13"/>
  <c r="AV126" i="13"/>
  <c r="AV125" i="13"/>
  <c r="AV124" i="13"/>
  <c r="AV123" i="13"/>
  <c r="AV122" i="13"/>
  <c r="AV121" i="13"/>
  <c r="AV120" i="13"/>
  <c r="AV119" i="13"/>
  <c r="AV118" i="13"/>
  <c r="AV117" i="13"/>
  <c r="AV116" i="13"/>
  <c r="AV115" i="13"/>
  <c r="AV114" i="13"/>
  <c r="AV113" i="13"/>
  <c r="AV112" i="13"/>
  <c r="AV111" i="13"/>
  <c r="AV110" i="13"/>
  <c r="AV109" i="13"/>
  <c r="AV108" i="13"/>
  <c r="AV107" i="13"/>
  <c r="AV106" i="13"/>
  <c r="AV105" i="13"/>
  <c r="AV104" i="13"/>
  <c r="AV103" i="13"/>
  <c r="AV102" i="13"/>
  <c r="AV101" i="13"/>
  <c r="AV100" i="13"/>
  <c r="AV99" i="13"/>
  <c r="AV98" i="13"/>
  <c r="AV97" i="13"/>
  <c r="AV96" i="13"/>
  <c r="AV95" i="13"/>
  <c r="AV94" i="13"/>
  <c r="AV93" i="13"/>
  <c r="AV92" i="13"/>
  <c r="AV91" i="13"/>
  <c r="AV90" i="13"/>
  <c r="AV89" i="13"/>
  <c r="AV88" i="13"/>
  <c r="AV87" i="13"/>
  <c r="AV86" i="13"/>
  <c r="AV85" i="13"/>
  <c r="AV84" i="13"/>
  <c r="AV83" i="13"/>
  <c r="AV82" i="13"/>
  <c r="AV81" i="13"/>
  <c r="AV80" i="13"/>
  <c r="AV79" i="13"/>
  <c r="AV78" i="13"/>
  <c r="AV77" i="13"/>
  <c r="AV76" i="13"/>
  <c r="AV75" i="13"/>
  <c r="AV74" i="13"/>
  <c r="AV73" i="13"/>
  <c r="AV72" i="13"/>
  <c r="AV71" i="13"/>
  <c r="AV70" i="13"/>
  <c r="AV69" i="13"/>
  <c r="AV68" i="13"/>
  <c r="AV67" i="13"/>
  <c r="AV66" i="13"/>
  <c r="AV65" i="13"/>
  <c r="AV64" i="13"/>
  <c r="AU200" i="13"/>
  <c r="AU199" i="13"/>
  <c r="AU198" i="13"/>
  <c r="AU197" i="13"/>
  <c r="AU196" i="13"/>
  <c r="AU195" i="13"/>
  <c r="AU194" i="13"/>
  <c r="AU193" i="13"/>
  <c r="AU192" i="13"/>
  <c r="AU191" i="13"/>
  <c r="AU190" i="13"/>
  <c r="AU189" i="13"/>
  <c r="AU188" i="13"/>
  <c r="AU187" i="13"/>
  <c r="AU186" i="13"/>
  <c r="AU185" i="13"/>
  <c r="AU184" i="13"/>
  <c r="AU183" i="13"/>
  <c r="AU182" i="13"/>
  <c r="AU181" i="13"/>
  <c r="AU180" i="13"/>
  <c r="AU179" i="13"/>
  <c r="AU178" i="13"/>
  <c r="AU177" i="13"/>
  <c r="AU176" i="13"/>
  <c r="AU175" i="13"/>
  <c r="AU174" i="13"/>
  <c r="AU173" i="13"/>
  <c r="AU172" i="13"/>
  <c r="AU171" i="13"/>
  <c r="AU170" i="13"/>
  <c r="AU169" i="13"/>
  <c r="AU168" i="13"/>
  <c r="AU167" i="13"/>
  <c r="AU166" i="13"/>
  <c r="AU165" i="13"/>
  <c r="AU164" i="13"/>
  <c r="AU163" i="13"/>
  <c r="AU162" i="13"/>
  <c r="AU161" i="13"/>
  <c r="AU160" i="13"/>
  <c r="AU159" i="13"/>
  <c r="AU158" i="13"/>
  <c r="AU157" i="13"/>
  <c r="AU156" i="13"/>
  <c r="AU155" i="13"/>
  <c r="AU154" i="13"/>
  <c r="AU153" i="13"/>
  <c r="AU152" i="13"/>
  <c r="AU151" i="13"/>
  <c r="AU150" i="13"/>
  <c r="AU149" i="13"/>
  <c r="AU148" i="13"/>
  <c r="AU147" i="13"/>
  <c r="AU146" i="13"/>
  <c r="AU145" i="13"/>
  <c r="AU144" i="13"/>
  <c r="AU143" i="13"/>
  <c r="AU142" i="13"/>
  <c r="AU141" i="13"/>
  <c r="AU140" i="13"/>
  <c r="AU139" i="13"/>
  <c r="AU138" i="13"/>
  <c r="AU137" i="13"/>
  <c r="AU136" i="13"/>
  <c r="AU135" i="13"/>
  <c r="AU134" i="13"/>
  <c r="AU133" i="13"/>
  <c r="AU132" i="13"/>
  <c r="AU131" i="13"/>
  <c r="AU130" i="13"/>
  <c r="AU129" i="13"/>
  <c r="AU128" i="13"/>
  <c r="AU127" i="13"/>
  <c r="AU126" i="13"/>
  <c r="AU125" i="13"/>
  <c r="AU124" i="13"/>
  <c r="AU123" i="13"/>
  <c r="AU122" i="13"/>
  <c r="AU121" i="13"/>
  <c r="AU120" i="13"/>
  <c r="AU119" i="13"/>
  <c r="AU118" i="13"/>
  <c r="AU117" i="13"/>
  <c r="AU116" i="13"/>
  <c r="AU115" i="13"/>
  <c r="AU114" i="13"/>
  <c r="AU113" i="13"/>
  <c r="AU112" i="13"/>
  <c r="AU111" i="13"/>
  <c r="AU110" i="13"/>
  <c r="AU109" i="13"/>
  <c r="AU108" i="13"/>
  <c r="AU107" i="13"/>
  <c r="AU106" i="13"/>
  <c r="AU105" i="13"/>
  <c r="AU104" i="13"/>
  <c r="AU103" i="13"/>
  <c r="AU102" i="13"/>
  <c r="AU101" i="13"/>
  <c r="AU100" i="13"/>
  <c r="AU99" i="13"/>
  <c r="AU98" i="13"/>
  <c r="AU97" i="13"/>
  <c r="AU96" i="13"/>
  <c r="AU95" i="13"/>
  <c r="AU94" i="13"/>
  <c r="AU93" i="13"/>
  <c r="AU92" i="13"/>
  <c r="AU91" i="13"/>
  <c r="AU90" i="13"/>
  <c r="AU89" i="13"/>
  <c r="AU88" i="13"/>
  <c r="AU87" i="13"/>
  <c r="AU86" i="13"/>
  <c r="AU85" i="13"/>
  <c r="AU84" i="13"/>
  <c r="AU83" i="13"/>
  <c r="AU82" i="13"/>
  <c r="AU81" i="13"/>
  <c r="AU80" i="13"/>
  <c r="AU79" i="13"/>
  <c r="AU78" i="13"/>
  <c r="AU77" i="13"/>
  <c r="AU76" i="13"/>
  <c r="AU75" i="13"/>
  <c r="AU74" i="13"/>
  <c r="AU73" i="13"/>
  <c r="AU72" i="13"/>
  <c r="AU71" i="13"/>
  <c r="AU70" i="13"/>
  <c r="AU69" i="13"/>
  <c r="AU68" i="13"/>
  <c r="AU67" i="13"/>
  <c r="AU66" i="13"/>
  <c r="AU65" i="13"/>
  <c r="AU64" i="13"/>
  <c r="V42" i="13" l="1"/>
  <c r="V41" i="13"/>
  <c r="V40" i="13"/>
  <c r="V39" i="13"/>
  <c r="V38" i="13"/>
  <c r="V37" i="13"/>
  <c r="AJ6" i="13" l="1"/>
  <c r="AJ7" i="13" s="1"/>
  <c r="AJ8" i="13" s="1"/>
  <c r="AJ9" i="13" s="1"/>
  <c r="AJ10" i="13" s="1"/>
  <c r="AJ11" i="13" s="1"/>
  <c r="AJ12" i="13" s="1"/>
  <c r="AJ13" i="13" s="1"/>
  <c r="AJ14" i="13" s="1"/>
  <c r="AJ15" i="13" s="1"/>
  <c r="AJ16" i="13" s="1"/>
  <c r="AJ17" i="13" s="1"/>
  <c r="AJ18" i="13" s="1"/>
  <c r="AJ19" i="13" s="1"/>
  <c r="AJ20" i="13" s="1"/>
  <c r="AJ21" i="13" s="1"/>
  <c r="AJ22" i="13" s="1"/>
  <c r="AJ23" i="13" s="1"/>
  <c r="AJ24" i="13" s="1"/>
  <c r="AJ25" i="13" s="1"/>
  <c r="AJ26" i="13" s="1"/>
  <c r="AJ27" i="13" s="1"/>
  <c r="AJ28" i="13" s="1"/>
  <c r="AJ29" i="13" s="1"/>
  <c r="AJ30" i="13" s="1"/>
  <c r="AJ31" i="13" s="1"/>
  <c r="AJ32" i="13" s="1"/>
  <c r="AJ33" i="13" s="1"/>
  <c r="AJ34" i="13" s="1"/>
  <c r="AJ35" i="13" s="1"/>
  <c r="AJ36" i="13" s="1"/>
  <c r="AK38" i="13"/>
  <c r="AO38" i="13" s="1"/>
  <c r="AC7" i="13" l="1"/>
  <c r="AC8" i="13"/>
  <c r="AC9" i="13"/>
  <c r="AC10" i="13"/>
  <c r="AC11" i="13"/>
  <c r="AC12" i="13"/>
  <c r="AC13" i="13"/>
  <c r="AC14" i="13"/>
  <c r="AC15" i="13"/>
  <c r="AC16" i="13"/>
  <c r="AC17" i="13"/>
  <c r="AC18" i="13"/>
  <c r="AC19" i="13"/>
  <c r="AC20" i="13"/>
  <c r="AC21" i="13"/>
  <c r="AC22" i="13"/>
  <c r="AC23" i="13"/>
  <c r="AC24" i="13"/>
  <c r="AC25" i="13"/>
  <c r="AC26" i="13"/>
  <c r="AC27" i="13"/>
  <c r="AC28" i="13"/>
  <c r="AC29" i="13"/>
  <c r="AC30" i="13"/>
  <c r="AC31" i="13"/>
  <c r="AC32" i="13"/>
  <c r="AC33" i="13"/>
  <c r="AC34" i="13"/>
  <c r="AC35" i="13"/>
  <c r="AC6" i="13"/>
  <c r="B48" i="13" l="1"/>
  <c r="B49" i="13" l="1"/>
  <c r="B50" i="13" l="1"/>
  <c r="V36" i="13"/>
  <c r="V10" i="13" l="1"/>
  <c r="V34" i="13"/>
  <c r="V30" i="13"/>
  <c r="V26" i="13"/>
  <c r="V22" i="13"/>
  <c r="V18" i="13"/>
  <c r="V14" i="13"/>
  <c r="V33" i="13"/>
  <c r="V29" i="13"/>
  <c r="V25" i="13"/>
  <c r="V21" i="13"/>
  <c r="V17" i="13"/>
  <c r="V13" i="13"/>
  <c r="V32" i="13"/>
  <c r="V28" i="13"/>
  <c r="V24" i="13"/>
  <c r="V20" i="13"/>
  <c r="V16" i="13"/>
  <c r="V12" i="13"/>
  <c r="V35" i="13"/>
  <c r="V31" i="13"/>
  <c r="V27" i="13"/>
  <c r="V23" i="13"/>
  <c r="V19" i="13"/>
  <c r="V15" i="13"/>
  <c r="V11" i="13"/>
  <c r="V8" i="13"/>
  <c r="V9" i="13"/>
  <c r="V7" i="13"/>
  <c r="W4" i="13" s="1"/>
  <c r="B51" i="13"/>
  <c r="AT6" i="13" l="1" a="1"/>
  <c r="AT6" i="13" s="1"/>
  <c r="B52" i="13"/>
  <c r="Z8" i="13" l="1"/>
  <c r="AD27" i="13"/>
  <c r="AD7" i="13"/>
  <c r="AD32" i="13"/>
  <c r="AD31" i="13"/>
  <c r="AD11" i="13"/>
  <c r="AD29" i="13"/>
  <c r="AD9" i="13"/>
  <c r="AD12" i="13"/>
  <c r="AD24" i="13"/>
  <c r="AD15" i="13"/>
  <c r="AD33" i="13"/>
  <c r="AD20" i="13"/>
  <c r="AD13" i="13"/>
  <c r="AD30" i="13"/>
  <c r="AD35" i="13"/>
  <c r="AD22" i="13"/>
  <c r="AD8" i="13"/>
  <c r="AD14" i="13"/>
  <c r="AD25" i="13"/>
  <c r="AD26" i="13"/>
  <c r="AD18" i="13"/>
  <c r="AD16" i="13"/>
  <c r="Z7" i="13"/>
  <c r="AD28" i="13"/>
  <c r="AD17" i="13"/>
  <c r="AD34" i="13"/>
  <c r="AD23" i="13"/>
  <c r="AD10" i="13"/>
  <c r="AD19" i="13"/>
  <c r="AD6" i="13"/>
  <c r="AD21" i="13"/>
  <c r="AK6" i="13"/>
  <c r="Y8" i="13" s="1"/>
  <c r="AV60" i="13"/>
  <c r="AV56" i="13"/>
  <c r="AU61" i="13"/>
  <c r="AU57" i="13"/>
  <c r="AV61" i="13"/>
  <c r="AV63" i="13"/>
  <c r="AV59" i="13"/>
  <c r="AU60" i="13"/>
  <c r="AU56" i="13"/>
  <c r="AV57" i="13"/>
  <c r="AV62" i="13"/>
  <c r="AV58" i="13"/>
  <c r="AU63" i="13"/>
  <c r="AU59" i="13"/>
  <c r="AU62" i="13"/>
  <c r="AU58" i="13"/>
  <c r="AV52" i="13"/>
  <c r="AU52" i="13"/>
  <c r="AU55" i="13"/>
  <c r="AU51" i="13"/>
  <c r="AU54" i="13"/>
  <c r="AU50" i="13"/>
  <c r="AV49" i="13"/>
  <c r="AU49" i="13"/>
  <c r="AV55" i="13"/>
  <c r="AV51" i="13"/>
  <c r="AV54" i="13"/>
  <c r="AV50" i="13"/>
  <c r="AU53" i="13"/>
  <c r="AV53" i="13"/>
  <c r="AV48" i="13"/>
  <c r="AU48" i="13"/>
  <c r="AV45" i="13"/>
  <c r="AV47" i="13"/>
  <c r="AU47" i="13"/>
  <c r="AU45" i="13"/>
  <c r="AV46" i="13"/>
  <c r="AU46" i="13"/>
  <c r="AU6" i="13"/>
  <c r="AV37" i="13"/>
  <c r="AU13" i="13"/>
  <c r="AV8" i="13"/>
  <c r="AU10" i="13"/>
  <c r="AU23" i="13"/>
  <c r="AV17" i="13"/>
  <c r="AU34" i="13"/>
  <c r="AU28" i="13"/>
  <c r="AV27" i="13"/>
  <c r="AV38" i="13"/>
  <c r="AV13" i="13"/>
  <c r="AU14" i="13"/>
  <c r="AU24" i="13"/>
  <c r="AV23" i="13"/>
  <c r="AV26" i="13"/>
  <c r="AV9" i="13"/>
  <c r="AV44" i="13"/>
  <c r="AU20" i="13"/>
  <c r="AV19" i="13"/>
  <c r="AV14" i="13"/>
  <c r="AV36" i="13"/>
  <c r="AU12" i="13"/>
  <c r="AV11" i="13"/>
  <c r="AU38" i="13"/>
  <c r="AU37" i="13"/>
  <c r="AV32" i="13"/>
  <c r="AU8" i="13"/>
  <c r="AV7" i="13"/>
  <c r="AU30" i="13"/>
  <c r="AU33" i="13"/>
  <c r="AV28" i="13"/>
  <c r="AV30" i="13"/>
  <c r="AU43" i="13"/>
  <c r="AU18" i="13"/>
  <c r="AV40" i="13"/>
  <c r="AU16" i="13"/>
  <c r="AU42" i="13"/>
  <c r="AU25" i="13"/>
  <c r="AV20" i="13"/>
  <c r="AU35" i="13"/>
  <c r="AU21" i="13"/>
  <c r="AU26" i="13"/>
  <c r="AU31" i="13"/>
  <c r="AV41" i="13"/>
  <c r="AV12" i="13"/>
  <c r="AU27" i="13"/>
  <c r="AV25" i="13"/>
  <c r="AU36" i="13"/>
  <c r="AU11" i="13"/>
  <c r="AV21" i="13"/>
  <c r="AV22" i="13"/>
  <c r="AU32" i="13"/>
  <c r="AV31" i="13"/>
  <c r="AU7" i="13"/>
  <c r="AU41" i="13"/>
  <c r="AV15" i="13"/>
  <c r="AV10" i="13"/>
  <c r="AV16" i="13"/>
  <c r="AU17" i="13"/>
  <c r="AU22" i="13"/>
  <c r="AU29" i="13"/>
  <c r="AV24" i="13"/>
  <c r="AV18" i="13"/>
  <c r="AU39" i="13"/>
  <c r="AV33" i="13"/>
  <c r="AU9" i="13"/>
  <c r="AU44" i="13"/>
  <c r="AV43" i="13"/>
  <c r="AU19" i="13"/>
  <c r="AV29" i="13"/>
  <c r="AV42" i="13"/>
  <c r="AU40" i="13"/>
  <c r="AV39" i="13"/>
  <c r="AU15" i="13"/>
  <c r="AV34" i="13"/>
  <c r="AV35" i="13"/>
  <c r="B53" i="13"/>
  <c r="AM4" i="13" l="1"/>
  <c r="AL6" i="13"/>
  <c r="AM6" i="13" s="1"/>
  <c r="AN6" i="13" s="1"/>
  <c r="AK7" i="13"/>
  <c r="AK8" i="13" s="1"/>
  <c r="AO6" i="13"/>
  <c r="Y7" i="13" s="1"/>
  <c r="AE13" i="13"/>
  <c r="AE23" i="13"/>
  <c r="AE19" i="13"/>
  <c r="AE7" i="13"/>
  <c r="AE30" i="13"/>
  <c r="AE9" i="13"/>
  <c r="AE26" i="13"/>
  <c r="AE18" i="13"/>
  <c r="Z9" i="13"/>
  <c r="Y6" i="13" s="1"/>
  <c r="AE21" i="13"/>
  <c r="AE22" i="13"/>
  <c r="AE34" i="13"/>
  <c r="AE16" i="13"/>
  <c r="AE31" i="13"/>
  <c r="AE14" i="13"/>
  <c r="AE17" i="13"/>
  <c r="AE20" i="13"/>
  <c r="AE10" i="13"/>
  <c r="AE33" i="13"/>
  <c r="AE29" i="13"/>
  <c r="AE24" i="13"/>
  <c r="AE32" i="13"/>
  <c r="AE27" i="13"/>
  <c r="AE28" i="13"/>
  <c r="AE15" i="13"/>
  <c r="AE12" i="13"/>
  <c r="AE11" i="13"/>
  <c r="AE8" i="13"/>
  <c r="AE25" i="13"/>
  <c r="AE6" i="13"/>
  <c r="AE35" i="13"/>
  <c r="AV6" i="13"/>
  <c r="AW58" i="13" s="1"/>
  <c r="AX25" i="13"/>
  <c r="AX12" i="13"/>
  <c r="AX23" i="13"/>
  <c r="AX30" i="13"/>
  <c r="AX14" i="13"/>
  <c r="AX36" i="13"/>
  <c r="AX7" i="13"/>
  <c r="AX26" i="13"/>
  <c r="AX194" i="13"/>
  <c r="AX180" i="13"/>
  <c r="AX131" i="13"/>
  <c r="AX138" i="13"/>
  <c r="AX135" i="13"/>
  <c r="AX156" i="13"/>
  <c r="AX99" i="13"/>
  <c r="AX41" i="13"/>
  <c r="AX80" i="13"/>
  <c r="AX56" i="13"/>
  <c r="AX78" i="13"/>
  <c r="AX97" i="13"/>
  <c r="AX147" i="13"/>
  <c r="AX151" i="13"/>
  <c r="AX74" i="13"/>
  <c r="AX95" i="13"/>
  <c r="AX178" i="13"/>
  <c r="AX164" i="13"/>
  <c r="AX101" i="13"/>
  <c r="AX106" i="13"/>
  <c r="AX111" i="13"/>
  <c r="AX124" i="13"/>
  <c r="AX64" i="13"/>
  <c r="AX82" i="13"/>
  <c r="AX188" i="13"/>
  <c r="AX81" i="13"/>
  <c r="AX195" i="13"/>
  <c r="AX103" i="13"/>
  <c r="AX163" i="13"/>
  <c r="AX200" i="13"/>
  <c r="AX167" i="13"/>
  <c r="AX107" i="13"/>
  <c r="AX67" i="13"/>
  <c r="AX40" i="13"/>
  <c r="AX91" i="13"/>
  <c r="AX79" i="13"/>
  <c r="AX6" i="13"/>
  <c r="AX165" i="13"/>
  <c r="AX115" i="13"/>
  <c r="AX181" i="13"/>
  <c r="AX77" i="13"/>
  <c r="AX37" i="13"/>
  <c r="AX28" i="13"/>
  <c r="AX8" i="13"/>
  <c r="AX34" i="13"/>
  <c r="AX15" i="13"/>
  <c r="AX17" i="13"/>
  <c r="AX32" i="13"/>
  <c r="AX22" i="13"/>
  <c r="AX130" i="13"/>
  <c r="AX116" i="13"/>
  <c r="AX155" i="13"/>
  <c r="AX137" i="13"/>
  <c r="AX160" i="13"/>
  <c r="AX182" i="13"/>
  <c r="AX38" i="13"/>
  <c r="AX50" i="13"/>
  <c r="AX89" i="13"/>
  <c r="AX61" i="13"/>
  <c r="AX52" i="13"/>
  <c r="AX93" i="13"/>
  <c r="AX29" i="13"/>
  <c r="AX24" i="13"/>
  <c r="AX19" i="13"/>
  <c r="AX184" i="13"/>
  <c r="AX174" i="13"/>
  <c r="AX140" i="13"/>
  <c r="AX175" i="13"/>
  <c r="AX46" i="13"/>
  <c r="AX65" i="13"/>
  <c r="AX185" i="13"/>
  <c r="AX153" i="13"/>
  <c r="AX72" i="13"/>
  <c r="AX168" i="13"/>
  <c r="AX117" i="13"/>
  <c r="AX139" i="13"/>
  <c r="AX108" i="13"/>
  <c r="AX129" i="13"/>
  <c r="AX69" i="13"/>
  <c r="AX54" i="13"/>
  <c r="AX70" i="13"/>
  <c r="AX162" i="13"/>
  <c r="AX193" i="13"/>
  <c r="AX144" i="13"/>
  <c r="AX105" i="13"/>
  <c r="AX134" i="13"/>
  <c r="AX39" i="13"/>
  <c r="AX84" i="13"/>
  <c r="AX66" i="13"/>
  <c r="AX146" i="13"/>
  <c r="AX170" i="13"/>
  <c r="AX68" i="13"/>
  <c r="AX18" i="13"/>
  <c r="AX33" i="13"/>
  <c r="AX27" i="13"/>
  <c r="AX31" i="13"/>
  <c r="AX157" i="13"/>
  <c r="AX109" i="13"/>
  <c r="AX154" i="13"/>
  <c r="AX42" i="13"/>
  <c r="AX85" i="13"/>
  <c r="AX58" i="13"/>
  <c r="AX171" i="13"/>
  <c r="AX172" i="13"/>
  <c r="AX53" i="13"/>
  <c r="AX114" i="13"/>
  <c r="AX158" i="13"/>
  <c r="AX183" i="13"/>
  <c r="AX128" i="13"/>
  <c r="AX159" i="13"/>
  <c r="AX87" i="13"/>
  <c r="AX161" i="13"/>
  <c r="AX141" i="13"/>
  <c r="AX190" i="13"/>
  <c r="AX113" i="13"/>
  <c r="AX92" i="13"/>
  <c r="AX45" i="13"/>
  <c r="AX136" i="13"/>
  <c r="AX186" i="13"/>
  <c r="AX48" i="13"/>
  <c r="AX122" i="13"/>
  <c r="AX83" i="13"/>
  <c r="AX123" i="13"/>
  <c r="AX197" i="13"/>
  <c r="AX43" i="13"/>
  <c r="AX60" i="13"/>
  <c r="AX132" i="13"/>
  <c r="AX96" i="13"/>
  <c r="AX11" i="13"/>
  <c r="AX20" i="13"/>
  <c r="AX35" i="13"/>
  <c r="AX13" i="13"/>
  <c r="AX120" i="13"/>
  <c r="AX110" i="13"/>
  <c r="AX150" i="13"/>
  <c r="AX119" i="13"/>
  <c r="AX59" i="13"/>
  <c r="AX76" i="13"/>
  <c r="AX126" i="13"/>
  <c r="AX192" i="13"/>
  <c r="AX44" i="13"/>
  <c r="AX104" i="13"/>
  <c r="AX100" i="13"/>
  <c r="AX176" i="13"/>
  <c r="AX118" i="13"/>
  <c r="AX166" i="13"/>
  <c r="AX73" i="13"/>
  <c r="AX88" i="13"/>
  <c r="AX57" i="13"/>
  <c r="AX173" i="13"/>
  <c r="AX142" i="13"/>
  <c r="AX177" i="13"/>
  <c r="AX191" i="13"/>
  <c r="AX143" i="13"/>
  <c r="AX90" i="13"/>
  <c r="AX62" i="13"/>
  <c r="AX133" i="13"/>
  <c r="AX198" i="13"/>
  <c r="AX55" i="13"/>
  <c r="AX98" i="13"/>
  <c r="AX169" i="13"/>
  <c r="AX86" i="13"/>
  <c r="AX196" i="13"/>
  <c r="AX10" i="13"/>
  <c r="AX9" i="13"/>
  <c r="AX21" i="13"/>
  <c r="AX16" i="13"/>
  <c r="AX125" i="13"/>
  <c r="AX199" i="13"/>
  <c r="AX145" i="13"/>
  <c r="AX71" i="13"/>
  <c r="AX47" i="13"/>
  <c r="AX63" i="13"/>
  <c r="AX112" i="13"/>
  <c r="AX102" i="13"/>
  <c r="AX94" i="13"/>
  <c r="AX149" i="13"/>
  <c r="AX179" i="13"/>
  <c r="AX121" i="13"/>
  <c r="AX51" i="13"/>
  <c r="AX75" i="13"/>
  <c r="AX152" i="13"/>
  <c r="AX148" i="13"/>
  <c r="AX189" i="13"/>
  <c r="AX49" i="13"/>
  <c r="AX187" i="13"/>
  <c r="AX127" i="13"/>
  <c r="AQ4" i="13"/>
  <c r="B54" i="13"/>
  <c r="D8" i="13" l="1"/>
  <c r="AP6" i="13"/>
  <c r="AQ6" i="13" s="1"/>
  <c r="AO7" i="13"/>
  <c r="AR7" i="13" s="1"/>
  <c r="AR6" i="13"/>
  <c r="AL7" i="13"/>
  <c r="AM7" i="13"/>
  <c r="AN7" i="13" s="1"/>
  <c r="AG10" i="13" a="1"/>
  <c r="AG10" i="13" s="1"/>
  <c r="Q18" i="13" s="1" a="1"/>
  <c r="Q18" i="13" s="1"/>
  <c r="AH10" i="13" a="1"/>
  <c r="AH10" i="13" s="1"/>
  <c r="S18" i="13" s="1" a="1"/>
  <c r="S18" i="13" s="1"/>
  <c r="AG7" i="13" a="1"/>
  <c r="AG7" i="13" s="1"/>
  <c r="Q12" i="13" s="1" a="1"/>
  <c r="Q12" i="13" s="1"/>
  <c r="AH7" i="13" a="1"/>
  <c r="AH7" i="13" s="1"/>
  <c r="S12" i="13" s="1" a="1"/>
  <c r="S12" i="13" s="1"/>
  <c r="AG6" i="13" a="1"/>
  <c r="AG6" i="13" s="1"/>
  <c r="Q10" i="13" s="1" a="1"/>
  <c r="Q10" i="13" s="1"/>
  <c r="AH6" i="13" a="1"/>
  <c r="AH6" i="13" s="1"/>
  <c r="AG8" i="13" a="1"/>
  <c r="AG8" i="13" s="1"/>
  <c r="Q14" i="13" s="1" a="1"/>
  <c r="Q14" i="13" s="1"/>
  <c r="AH9" i="13" a="1"/>
  <c r="AH9" i="13" s="1"/>
  <c r="S16" i="13" s="1" a="1"/>
  <c r="S16" i="13" s="1"/>
  <c r="AH8" i="13" a="1"/>
  <c r="AH8" i="13" s="1"/>
  <c r="S14" i="13" s="1" a="1"/>
  <c r="S14" i="13" s="1"/>
  <c r="AG9" i="13" a="1"/>
  <c r="AG9" i="13" s="1"/>
  <c r="Q16" i="13" s="1" a="1"/>
  <c r="Q16" i="13" s="1"/>
  <c r="AW69" i="13"/>
  <c r="AW83" i="13"/>
  <c r="AW148" i="13"/>
  <c r="AW158" i="13"/>
  <c r="AW94" i="13"/>
  <c r="AW135" i="13"/>
  <c r="AW150" i="13"/>
  <c r="AW46" i="13"/>
  <c r="AW59" i="13"/>
  <c r="AW27" i="13"/>
  <c r="AW106" i="13"/>
  <c r="AW121" i="13"/>
  <c r="AW78" i="13"/>
  <c r="AW165" i="13"/>
  <c r="AW95" i="13"/>
  <c r="AW151" i="13"/>
  <c r="AW104" i="13"/>
  <c r="AW196" i="13"/>
  <c r="AW110" i="13"/>
  <c r="AW13" i="13"/>
  <c r="AW200" i="13"/>
  <c r="AW184" i="13"/>
  <c r="AW137" i="13"/>
  <c r="AW79" i="13"/>
  <c r="AW15" i="13"/>
  <c r="AW188" i="13"/>
  <c r="AW36" i="13"/>
  <c r="AW37" i="13"/>
  <c r="AW29" i="13"/>
  <c r="AW55" i="13"/>
  <c r="AW16" i="13"/>
  <c r="AW101" i="13"/>
  <c r="AW195" i="13"/>
  <c r="AW72" i="13"/>
  <c r="AW134" i="13"/>
  <c r="AW155" i="13"/>
  <c r="AW44" i="13"/>
  <c r="AW169" i="13"/>
  <c r="AW14" i="13"/>
  <c r="AW171" i="13"/>
  <c r="AW24" i="13"/>
  <c r="AW90" i="13"/>
  <c r="AW139" i="13"/>
  <c r="AW111" i="13"/>
  <c r="AW11" i="13"/>
  <c r="AW123" i="13"/>
  <c r="AW182" i="13"/>
  <c r="AW136" i="13"/>
  <c r="AW100" i="13"/>
  <c r="AW142" i="13"/>
  <c r="AW23" i="13"/>
  <c r="AW39" i="13"/>
  <c r="AW34" i="13"/>
  <c r="AW115" i="13"/>
  <c r="AW65" i="13"/>
  <c r="AW154" i="13"/>
  <c r="AW88" i="13"/>
  <c r="AW17" i="13"/>
  <c r="AW31" i="13"/>
  <c r="AW166" i="13"/>
  <c r="AW75" i="13"/>
  <c r="AW45" i="13"/>
  <c r="AW47" i="13"/>
  <c r="AW89" i="13"/>
  <c r="AW97" i="13"/>
  <c r="AW186" i="13"/>
  <c r="AW82" i="13"/>
  <c r="AW156" i="13"/>
  <c r="AW162" i="13"/>
  <c r="AW120" i="13"/>
  <c r="AW181" i="13"/>
  <c r="AW113" i="13"/>
  <c r="AW99" i="13"/>
  <c r="AW48" i="13"/>
  <c r="AW35" i="13"/>
  <c r="AW87" i="13"/>
  <c r="AW38" i="13"/>
  <c r="AW76" i="13"/>
  <c r="AW128" i="13"/>
  <c r="AW21" i="13"/>
  <c r="AW177" i="13"/>
  <c r="AW190" i="13"/>
  <c r="AW32" i="13"/>
  <c r="AW180" i="13"/>
  <c r="AW81" i="13"/>
  <c r="AW147" i="13"/>
  <c r="AW189" i="13"/>
  <c r="AW91" i="13"/>
  <c r="AW126" i="13"/>
  <c r="AW122" i="13"/>
  <c r="AW145" i="13"/>
  <c r="AW163" i="13"/>
  <c r="AW193" i="13"/>
  <c r="AW164" i="13"/>
  <c r="AW28" i="13"/>
  <c r="AW124" i="13"/>
  <c r="AW173" i="13"/>
  <c r="AW85" i="13"/>
  <c r="AW67" i="13"/>
  <c r="AW84" i="13"/>
  <c r="AW53" i="13"/>
  <c r="AW157" i="13"/>
  <c r="AW62" i="13"/>
  <c r="AW74" i="13"/>
  <c r="AW57" i="13"/>
  <c r="AW119" i="13"/>
  <c r="AW51" i="13"/>
  <c r="AW132" i="13"/>
  <c r="AW49" i="13"/>
  <c r="AW112" i="13"/>
  <c r="AW168" i="13"/>
  <c r="AW108" i="13"/>
  <c r="AW73" i="13"/>
  <c r="AW130" i="13"/>
  <c r="AW149" i="13"/>
  <c r="AW172" i="13"/>
  <c r="AW152" i="13"/>
  <c r="AW114" i="13"/>
  <c r="AW77" i="13"/>
  <c r="AW10" i="13"/>
  <c r="AW146" i="13"/>
  <c r="AW8" i="13"/>
  <c r="AW118" i="13"/>
  <c r="AW160" i="13"/>
  <c r="AW129" i="13"/>
  <c r="AW6" i="13"/>
  <c r="AW116" i="13"/>
  <c r="AW66" i="13"/>
  <c r="AW167" i="13"/>
  <c r="AW170" i="13"/>
  <c r="AW174" i="13"/>
  <c r="AW54" i="13"/>
  <c r="AW109" i="13"/>
  <c r="AW43" i="13"/>
  <c r="AW30" i="13"/>
  <c r="AW20" i="13"/>
  <c r="AW102" i="13"/>
  <c r="AW60" i="13"/>
  <c r="AW42" i="13"/>
  <c r="AW138" i="13"/>
  <c r="AW140" i="13"/>
  <c r="AW107" i="13"/>
  <c r="AW161" i="13"/>
  <c r="AW192" i="13"/>
  <c r="AW22" i="13"/>
  <c r="AW41" i="13"/>
  <c r="AW191" i="13"/>
  <c r="AW197" i="13"/>
  <c r="AW98" i="13"/>
  <c r="AW26" i="13"/>
  <c r="AW61" i="13"/>
  <c r="AW198" i="13"/>
  <c r="AW93" i="13"/>
  <c r="AW117" i="13"/>
  <c r="AW56" i="13"/>
  <c r="AW179" i="13"/>
  <c r="AW183" i="13"/>
  <c r="AW7" i="13"/>
  <c r="AW12" i="13"/>
  <c r="AW33" i="13"/>
  <c r="AW9" i="13"/>
  <c r="AW144" i="13"/>
  <c r="AW52" i="13"/>
  <c r="AW86" i="13"/>
  <c r="AW64" i="13"/>
  <c r="AW176" i="13"/>
  <c r="AW80" i="13"/>
  <c r="AW159" i="13"/>
  <c r="AW71" i="13"/>
  <c r="AW194" i="13"/>
  <c r="AW25" i="13"/>
  <c r="AW185" i="13"/>
  <c r="AW92" i="13"/>
  <c r="AW68" i="13"/>
  <c r="AW50" i="13"/>
  <c r="AW70" i="13"/>
  <c r="AW125" i="13"/>
  <c r="AW18" i="13"/>
  <c r="AW105" i="13"/>
  <c r="AW153" i="13"/>
  <c r="AW127" i="13"/>
  <c r="AW96" i="13"/>
  <c r="AW19" i="13"/>
  <c r="AW40" i="13"/>
  <c r="AW141" i="13"/>
  <c r="AW187" i="13"/>
  <c r="AW131" i="13"/>
  <c r="AW103" i="13"/>
  <c r="AW178" i="13"/>
  <c r="AW175" i="13"/>
  <c r="AW63" i="13"/>
  <c r="AW133" i="13"/>
  <c r="AW199" i="13"/>
  <c r="AW143" i="13"/>
  <c r="M53" i="13" a="1"/>
  <c r="M53" i="13" s="1"/>
  <c r="Q53" i="13" s="1" a="1"/>
  <c r="Q53" i="13" s="1"/>
  <c r="AN8" i="13"/>
  <c r="AK9" i="13"/>
  <c r="AL8" i="13"/>
  <c r="AM8" i="13" s="1"/>
  <c r="S10" i="13" a="1"/>
  <c r="S10" i="13" s="1"/>
  <c r="S50" i="13" a="1"/>
  <c r="S50" i="13" s="1"/>
  <c r="M49" i="13" a="1"/>
  <c r="M49" i="13" s="1"/>
  <c r="Q49" i="13" s="1" a="1"/>
  <c r="Q49" i="13" s="1"/>
  <c r="M51" i="13" a="1"/>
  <c r="M51" i="13" s="1"/>
  <c r="Q51" i="13" s="1" a="1"/>
  <c r="Q51" i="13" s="1"/>
  <c r="S51" i="13" a="1"/>
  <c r="S51" i="13" s="1"/>
  <c r="S52" i="13" a="1"/>
  <c r="S52" i="13" s="1"/>
  <c r="M50" i="13" a="1"/>
  <c r="M50" i="13" s="1"/>
  <c r="Q50" i="13" s="1" a="1"/>
  <c r="Q50" i="13" s="1"/>
  <c r="M52" i="13" a="1"/>
  <c r="M52" i="13" s="1"/>
  <c r="Q52" i="13" s="1" a="1"/>
  <c r="Q52" i="13" s="1"/>
  <c r="S47" i="13" a="1"/>
  <c r="S47" i="13" s="1"/>
  <c r="M48" i="13" a="1"/>
  <c r="M48" i="13" s="1"/>
  <c r="Q48" i="13" s="1" a="1"/>
  <c r="Q48" i="13" s="1"/>
  <c r="S49" i="13" a="1"/>
  <c r="S49" i="13" s="1"/>
  <c r="S48" i="13" a="1"/>
  <c r="S48" i="13" s="1"/>
  <c r="M47" i="13" a="1"/>
  <c r="M47" i="13" s="1"/>
  <c r="S53" i="13" a="1"/>
  <c r="S53" i="13" s="1"/>
  <c r="AP7" i="13"/>
  <c r="AQ7" i="13" s="1"/>
  <c r="M54" i="13" a="1"/>
  <c r="M54" i="13" s="1"/>
  <c r="Q54" i="13" s="1" a="1"/>
  <c r="Q54" i="13" s="1"/>
  <c r="S54" i="13" a="1"/>
  <c r="S54" i="13" s="1"/>
  <c r="B55" i="13"/>
  <c r="AO8" i="13" l="1"/>
  <c r="AR8" i="13" s="1"/>
  <c r="AG11" i="13"/>
  <c r="Q20" i="13" s="1" a="1"/>
  <c r="Q20" i="13" s="1"/>
  <c r="AH11" i="13"/>
  <c r="AH12" i="13" s="1"/>
  <c r="G47" i="13" a="1"/>
  <c r="G47" i="13" s="1"/>
  <c r="D50" i="13" a="1"/>
  <c r="D50" i="13" s="1"/>
  <c r="D49" i="13" a="1"/>
  <c r="D49" i="13" s="1"/>
  <c r="I49" i="13" a="1"/>
  <c r="I49" i="13" s="1"/>
  <c r="G54" i="13" a="1"/>
  <c r="G54" i="13" s="1"/>
  <c r="D51" i="13" a="1"/>
  <c r="D51" i="13" s="1"/>
  <c r="D53" i="13" a="1"/>
  <c r="D53" i="13" s="1"/>
  <c r="I54" i="13" a="1"/>
  <c r="I54" i="13" s="1"/>
  <c r="G49" i="13" a="1"/>
  <c r="G49" i="13" s="1"/>
  <c r="D48" i="13" a="1"/>
  <c r="D48" i="13" s="1"/>
  <c r="I48" i="13" a="1"/>
  <c r="I48" i="13" s="1"/>
  <c r="D54" i="13" a="1"/>
  <c r="D54" i="13" s="1"/>
  <c r="G51" i="13" a="1"/>
  <c r="G51" i="13" s="1"/>
  <c r="G48" i="13" a="1"/>
  <c r="G48" i="13" s="1"/>
  <c r="G52" i="13" a="1"/>
  <c r="G52" i="13" s="1"/>
  <c r="I53" i="13" a="1"/>
  <c r="I53" i="13" s="1"/>
  <c r="G50" i="13" a="1"/>
  <c r="G50" i="13" s="1"/>
  <c r="I52" i="13" a="1"/>
  <c r="I52" i="13" s="1"/>
  <c r="I51" i="13" a="1"/>
  <c r="I51" i="13" s="1"/>
  <c r="D52" i="13" a="1"/>
  <c r="D52" i="13" s="1"/>
  <c r="G53" i="13" a="1"/>
  <c r="G53" i="13" s="1"/>
  <c r="I50" i="13" a="1"/>
  <c r="I50" i="13" s="1"/>
  <c r="D47" i="13" a="1"/>
  <c r="D47" i="13" s="1"/>
  <c r="I47" i="13" a="1"/>
  <c r="I47" i="13" s="1"/>
  <c r="Q47" i="13" a="1"/>
  <c r="Q47" i="13" s="1"/>
  <c r="AK10" i="13"/>
  <c r="AN9" i="13"/>
  <c r="AL9" i="13"/>
  <c r="AM9" i="13" s="1"/>
  <c r="S20" i="13" a="1"/>
  <c r="S20" i="13" s="1"/>
  <c r="S22" i="13" s="1"/>
  <c r="M8" i="13" s="1"/>
  <c r="M55" i="13" a="1"/>
  <c r="M55" i="13" s="1"/>
  <c r="Q55" i="13" s="1" a="1"/>
  <c r="Q55" i="13" s="1"/>
  <c r="S55" i="13" a="1"/>
  <c r="S55" i="13" s="1"/>
  <c r="I55" i="13" a="1"/>
  <c r="I55" i="13" s="1"/>
  <c r="G55" i="13" a="1"/>
  <c r="G55" i="13" s="1"/>
  <c r="D55" i="13" a="1"/>
  <c r="D55" i="13" s="1"/>
  <c r="B56" i="13"/>
  <c r="AO9" i="13" l="1"/>
  <c r="AP9" i="13" s="1"/>
  <c r="AQ9" i="13" s="1"/>
  <c r="AP8" i="13"/>
  <c r="AQ8" i="13" s="1"/>
  <c r="AN10" i="13"/>
  <c r="AK11" i="13"/>
  <c r="AL10" i="13"/>
  <c r="AM10" i="13" s="1"/>
  <c r="S56" i="13" a="1"/>
  <c r="S56" i="13" s="1"/>
  <c r="M56" i="13" a="1"/>
  <c r="M56" i="13" s="1"/>
  <c r="Q56" i="13" s="1" a="1"/>
  <c r="Q56" i="13" s="1"/>
  <c r="D56" i="13" a="1"/>
  <c r="D56" i="13" s="1"/>
  <c r="I56" i="13" a="1"/>
  <c r="I56" i="13" s="1"/>
  <c r="G56" i="13" a="1"/>
  <c r="G56" i="13" s="1"/>
  <c r="AR9" i="13" l="1"/>
  <c r="AO10" i="13"/>
  <c r="AP10" i="13" s="1"/>
  <c r="AQ10" i="13" s="1"/>
  <c r="AK12" i="13"/>
  <c r="AL11" i="13"/>
  <c r="AM11" i="13" s="1"/>
  <c r="AN11" i="13" s="1"/>
  <c r="AO11" i="13" l="1"/>
  <c r="AR11" i="13" s="1"/>
  <c r="AR10" i="13"/>
  <c r="AK13" i="13"/>
  <c r="AL12" i="13"/>
  <c r="AM12" i="13" s="1"/>
  <c r="AN12" i="13" s="1"/>
  <c r="AP11" i="13" l="1"/>
  <c r="AQ11" i="13" s="1"/>
  <c r="AO12" i="13"/>
  <c r="AR12" i="13" s="1"/>
  <c r="AK14" i="13"/>
  <c r="AN13" i="13"/>
  <c r="AL13" i="13"/>
  <c r="AM13" i="13" s="1"/>
  <c r="AP12" i="13" l="1"/>
  <c r="AQ12" i="13" s="1"/>
  <c r="AO13" i="13"/>
  <c r="AR13" i="13" s="1"/>
  <c r="AK15" i="13"/>
  <c r="AN14" i="13"/>
  <c r="AL14" i="13"/>
  <c r="AM14" i="13" s="1"/>
  <c r="AO14" i="13" l="1"/>
  <c r="AR14" i="13" s="1"/>
  <c r="AP13" i="13"/>
  <c r="AQ13" i="13" s="1"/>
  <c r="AK16" i="13"/>
  <c r="AN15" i="13"/>
  <c r="AL15" i="13"/>
  <c r="AM15" i="13" s="1"/>
  <c r="AP14" i="13" l="1"/>
  <c r="AQ14" i="13" s="1"/>
  <c r="AO15" i="13"/>
  <c r="AR15" i="13" s="1"/>
  <c r="AK17" i="13"/>
  <c r="AN16" i="13"/>
  <c r="AL16" i="13"/>
  <c r="AM16" i="13" s="1"/>
  <c r="AO16" i="13" l="1"/>
  <c r="AR16" i="13" s="1"/>
  <c r="AP15" i="13"/>
  <c r="AQ15" i="13" s="1"/>
  <c r="AK18" i="13"/>
  <c r="AN17" i="13"/>
  <c r="AL17" i="13"/>
  <c r="AM17" i="13" s="1"/>
  <c r="AP16" i="13" l="1"/>
  <c r="AQ16" i="13" s="1"/>
  <c r="AO17" i="13"/>
  <c r="AR17" i="13" s="1"/>
  <c r="AK19" i="13"/>
  <c r="AN18" i="13"/>
  <c r="AL18" i="13"/>
  <c r="AM18" i="13" s="1"/>
  <c r="AO18" i="13" l="1"/>
  <c r="AO19" i="13" s="1"/>
  <c r="AP17" i="13"/>
  <c r="AQ17" i="13" s="1"/>
  <c r="AN19" i="13"/>
  <c r="AK20" i="13"/>
  <c r="AL19" i="13"/>
  <c r="AM19" i="13" s="1"/>
  <c r="AP18" i="13" l="1"/>
  <c r="AQ18" i="13" s="1"/>
  <c r="AR18" i="13"/>
  <c r="AR19" i="13"/>
  <c r="AP19" i="13"/>
  <c r="AQ19" i="13" s="1"/>
  <c r="AO20" i="13"/>
  <c r="AK21" i="13"/>
  <c r="AN20" i="13"/>
  <c r="AL20" i="13"/>
  <c r="AM20" i="13" s="1"/>
  <c r="AK22" i="13" l="1"/>
  <c r="AN21" i="13"/>
  <c r="AL21" i="13"/>
  <c r="AM21" i="13" s="1"/>
  <c r="AP20" i="13"/>
  <c r="AQ20" i="13" s="1"/>
  <c r="AR20" i="13"/>
  <c r="AO21" i="13"/>
  <c r="AP21" i="13" l="1"/>
  <c r="AQ21" i="13" s="1"/>
  <c r="AR21" i="13"/>
  <c r="AO22" i="13"/>
  <c r="AN22" i="13"/>
  <c r="AK23" i="13"/>
  <c r="AL22" i="13"/>
  <c r="AM22" i="13" s="1"/>
  <c r="AK24" i="13" l="1"/>
  <c r="AN23" i="13"/>
  <c r="AL23" i="13"/>
  <c r="AM23" i="13" s="1"/>
  <c r="AP22" i="13"/>
  <c r="AQ22" i="13" s="1"/>
  <c r="AR22" i="13"/>
  <c r="AO23" i="13"/>
  <c r="AR23" i="13" l="1"/>
  <c r="AO24" i="13"/>
  <c r="AP23" i="13"/>
  <c r="AQ23" i="13" s="1"/>
  <c r="AK25" i="13"/>
  <c r="AN24" i="13"/>
  <c r="AL24" i="13"/>
  <c r="AM24" i="13" s="1"/>
  <c r="AK26" i="13" l="1"/>
  <c r="AL25" i="13"/>
  <c r="AM25" i="13" s="1"/>
  <c r="AN25" i="13" s="1"/>
  <c r="AP24" i="13"/>
  <c r="AQ24" i="13" s="1"/>
  <c r="AR24" i="13"/>
  <c r="AO25" i="13"/>
  <c r="AP25" i="13" l="1"/>
  <c r="AQ25" i="13" s="1"/>
  <c r="AO26" i="13"/>
  <c r="AR25" i="13"/>
  <c r="AK27" i="13"/>
  <c r="AN26" i="13"/>
  <c r="AL26" i="13"/>
  <c r="AM26" i="13" s="1"/>
  <c r="AK28" i="13" l="1"/>
  <c r="AN27" i="13"/>
  <c r="AL27" i="13"/>
  <c r="AM27" i="13" s="1"/>
  <c r="AP26" i="13"/>
  <c r="AQ26" i="13" s="1"/>
  <c r="AR26" i="13"/>
  <c r="AO27" i="13"/>
  <c r="AP27" i="13" l="1"/>
  <c r="AQ27" i="13" s="1"/>
  <c r="AO28" i="13"/>
  <c r="AR27" i="13"/>
  <c r="AK29" i="13"/>
  <c r="AN28" i="13"/>
  <c r="AL28" i="13"/>
  <c r="AM28" i="13" s="1"/>
  <c r="AK30" i="13" l="1"/>
  <c r="AN29" i="13"/>
  <c r="AL29" i="13"/>
  <c r="AM29" i="13" s="1"/>
  <c r="AP28" i="13"/>
  <c r="AQ28" i="13" s="1"/>
  <c r="AR28" i="13"/>
  <c r="AO29" i="13"/>
  <c r="AO30" i="13" l="1"/>
  <c r="AR29" i="13"/>
  <c r="AP29" i="13"/>
  <c r="AQ29" i="13" s="1"/>
  <c r="AK31" i="13"/>
  <c r="AN30" i="13"/>
  <c r="AL30" i="13"/>
  <c r="AM30" i="13" s="1"/>
  <c r="AP30" i="13" l="1"/>
  <c r="AQ30" i="13" s="1"/>
  <c r="AO31" i="13"/>
  <c r="AR30" i="13"/>
  <c r="AN31" i="13"/>
  <c r="AK32" i="13"/>
  <c r="AL31" i="13"/>
  <c r="AM31" i="13" s="1"/>
  <c r="AK33" i="13" l="1"/>
  <c r="AN32" i="13"/>
  <c r="AL32" i="13"/>
  <c r="AM32" i="13" s="1"/>
  <c r="AO32" i="13"/>
  <c r="AR31" i="13"/>
  <c r="AP31" i="13"/>
  <c r="AQ31" i="13" s="1"/>
  <c r="AP32" i="13" l="1"/>
  <c r="AQ32" i="13" s="1"/>
  <c r="AO33" i="13"/>
  <c r="AR32" i="13"/>
  <c r="AN33" i="13"/>
  <c r="AK34" i="13"/>
  <c r="AL33" i="13"/>
  <c r="AM33" i="13" s="1"/>
  <c r="AK35" i="13" l="1"/>
  <c r="AL34" i="13"/>
  <c r="AM34" i="13" s="1"/>
  <c r="AN34" i="13" s="1"/>
  <c r="AO34" i="13"/>
  <c r="AP33" i="13"/>
  <c r="AQ33" i="13" s="1"/>
  <c r="AR33" i="13"/>
  <c r="AP34" i="13" l="1"/>
  <c r="AQ34" i="13" s="1"/>
  <c r="AR34" i="13" s="1"/>
  <c r="AO35" i="13"/>
  <c r="AK36" i="13"/>
  <c r="AM38" i="13" s="1" a="1"/>
  <c r="AM38" i="13" s="1"/>
  <c r="AL35" i="13"/>
  <c r="AM35" i="13" s="1"/>
  <c r="AN35" i="13" s="1"/>
  <c r="AK41" i="13" l="1"/>
  <c r="AL36" i="13"/>
  <c r="AM36" i="13" s="1"/>
  <c r="AN36" i="13" s="1"/>
  <c r="AO36" i="13"/>
  <c r="AQ38" i="13" s="1" a="1"/>
  <c r="AQ38" i="13" s="1"/>
  <c r="AK39" i="13" s="1"/>
  <c r="AP35" i="13"/>
  <c r="AQ35" i="13" s="1"/>
  <c r="AR35" i="13" s="1"/>
  <c r="AM41" i="13" l="1" a="1"/>
  <c r="AM41" i="13" s="1"/>
  <c r="AO41" i="13"/>
  <c r="AP36" i="13"/>
  <c r="AQ36" i="13" s="1"/>
  <c r="AR36" i="13" s="1"/>
  <c r="AQ41" i="13" l="1" a="1"/>
  <c r="AQ41" i="13" s="1"/>
  <c r="AK42" i="13" s="1"/>
  <c r="D2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<sst xmlns="http://schemas.openxmlformats.org/spreadsheetml/2006/main" count="158" uniqueCount="118">
  <si>
    <t>Money in Excel</t>
  </si>
  <si>
    <t>This template helps you see all your financial accounts in one place, make a plan, and reach your financial goals</t>
  </si>
  <si>
    <t>Automatically import your transactions</t>
  </si>
  <si>
    <t>Keep a personal record of your finances</t>
  </si>
  <si>
    <t>Understand your financial habits</t>
  </si>
  <si>
    <t>Personalize your information for your needs</t>
  </si>
  <si>
    <t>Did you know?</t>
  </si>
  <si>
    <t>You must trust the Excel add-in to access Money in Excel. (The add-in is to the right of the spreadsheet.)</t>
  </si>
  <si>
    <t>Arrow: scroll down to learn more</t>
  </si>
  <si>
    <t>1.Add accounts to Money in Excel</t>
  </si>
  <si>
    <t>2.Customize your categories to reflect your spending</t>
  </si>
  <si>
    <t>Arrow: keep scrolling</t>
  </si>
  <si>
    <t>3. Quickly switch sheets and glean information with the Money in Excel pane</t>
  </si>
  <si>
    <t>4.Get a clear view and make a plan with templates</t>
  </si>
  <si>
    <t>5. See how spending habits add up, make changes, and reach your financial goals</t>
  </si>
  <si>
    <t>Learn how to get started with Money in Excel</t>
  </si>
  <si>
    <t>Follow these tips and instructions to get the most out of your workbook</t>
  </si>
  <si>
    <t>Get started</t>
  </si>
  <si>
    <t>Trust the add-in</t>
  </si>
  <si>
    <t>Sign in with a Microsoft 365 Family or Personal account</t>
  </si>
  <si>
    <t>Connect a primary financial account</t>
  </si>
  <si>
    <t>Categorize your transactions in the Categories sheet</t>
  </si>
  <si>
    <t>Update your workbook to sync your recent transactions</t>
  </si>
  <si>
    <t>Note: Money in Excel only works on desktop or web, not on mobile</t>
  </si>
  <si>
    <t>Save your workbook</t>
  </si>
  <si>
    <t>Save your workbook before closing the file</t>
  </si>
  <si>
    <t>Name your workbook by selecting "Save as" and renaming the file</t>
  </si>
  <si>
    <t>Save your file in a secure location</t>
  </si>
  <si>
    <t>Come back to that location when you're ready to use Money in Excel</t>
  </si>
  <si>
    <t>Note: To share your Money in Excel workbook, the recipient needs to download the Money in Excel template, sign in with your Microsoft account credentials, and have access to your workbook (online or a local copy)</t>
  </si>
  <si>
    <t>Transactions sheet</t>
  </si>
  <si>
    <t>Review your transactions. All transactions have already been categorized, but you can change the Category and Merchant names.</t>
  </si>
  <si>
    <t>Do not delete your Transactions spreadsheet as that will affect all of your other sheets</t>
  </si>
  <si>
    <t>Categories sheet</t>
  </si>
  <si>
    <t>There are 18 Default Categories that cannot be changed</t>
  </si>
  <si>
    <t>You can add custom categories. Be sure to include a Category Type.</t>
  </si>
  <si>
    <t>The categories on this spreadsheet are reflected in "Category" column on "Transactions" spreadsheet</t>
  </si>
  <si>
    <t>Do not delete your Categories spreadsheet as that will affect all your other sheets</t>
  </si>
  <si>
    <t>Snapshot</t>
  </si>
  <si>
    <t>Choose month below</t>
  </si>
  <si>
    <t>See your spending trends month over month with easy to read graphs. To switch months, click on the blue date box to the right.</t>
  </si>
  <si>
    <t>Monthly Summary</t>
  </si>
  <si>
    <t>Category</t>
  </si>
  <si>
    <t>Count</t>
  </si>
  <si>
    <t>Rank</t>
  </si>
  <si>
    <t>Order</t>
  </si>
  <si>
    <t>$</t>
  </si>
  <si>
    <t>Display Axis</t>
  </si>
  <si>
    <t>Current Mon.</t>
  </si>
  <si>
    <t>Max Date</t>
  </si>
  <si>
    <t>Last Mon.</t>
  </si>
  <si>
    <t>Merchants</t>
  </si>
  <si>
    <t>Trans Count</t>
  </si>
  <si>
    <t>Trans Rank</t>
  </si>
  <si>
    <t>$ Rank</t>
  </si>
  <si>
    <t>Input</t>
  </si>
  <si>
    <t>Month Filter</t>
  </si>
  <si>
    <t>Current vs. previous month spending</t>
  </si>
  <si>
    <t>This month's top spending categories</t>
  </si>
  <si>
    <t>Difference</t>
  </si>
  <si>
    <t>Total</t>
  </si>
  <si>
    <t>Cumulative spending throughout month</t>
  </si>
  <si>
    <t>Frequented merchants</t>
  </si>
  <si>
    <t>Merchants where the most was spent</t>
  </si>
  <si>
    <t>Merchant</t>
  </si>
  <si>
    <t>Transactions</t>
  </si>
  <si>
    <r>
      <t xml:space="preserve">Transactions from your added accounts are automatically imported here. Click </t>
    </r>
    <r>
      <rPr>
        <b/>
        <sz val="12"/>
        <color theme="1" tint="0.249977111117893"/>
        <rFont val="Calibri"/>
        <family val="2"/>
        <scheme val="minor"/>
      </rPr>
      <t>Update</t>
    </r>
    <r>
      <rPr>
        <sz val="12"/>
        <color theme="1" tint="0.249977111117893"/>
        <rFont val="Calibri"/>
        <family val="2"/>
        <scheme val="minor"/>
      </rPr>
      <t xml:space="preserve"> in the task pane to import more transactions. Edit the </t>
    </r>
    <r>
      <rPr>
        <b/>
        <sz val="12"/>
        <color theme="1" tint="0.249977111117893"/>
        <rFont val="Calibri"/>
        <family val="2"/>
        <scheme val="minor"/>
      </rPr>
      <t>Merchant</t>
    </r>
    <r>
      <rPr>
        <sz val="12"/>
        <color theme="1" tint="0.249977111117893"/>
        <rFont val="Calibri"/>
        <family val="2"/>
        <scheme val="minor"/>
      </rPr>
      <t xml:space="preserve"> and </t>
    </r>
    <r>
      <rPr>
        <b/>
        <sz val="12"/>
        <color theme="1" tint="0.249977111117893"/>
        <rFont val="Calibri"/>
        <family val="2"/>
        <scheme val="minor"/>
      </rPr>
      <t>Category</t>
    </r>
    <r>
      <rPr>
        <sz val="12"/>
        <color theme="1" tint="0.249977111117893"/>
        <rFont val="Calibri"/>
        <family val="2"/>
        <scheme val="minor"/>
      </rPr>
      <t xml:space="preserve"> columns to better reflect where and how you spend your money.</t>
    </r>
  </si>
  <si>
    <t>Date</t>
  </si>
  <si>
    <t>Amount $</t>
  </si>
  <si>
    <t>Account</t>
  </si>
  <si>
    <t>Account Number</t>
  </si>
  <si>
    <t>Institution</t>
  </si>
  <si>
    <t>Transaction_ID</t>
  </si>
  <si>
    <t>Account_ID</t>
  </si>
  <si>
    <t>Institution_ID</t>
  </si>
  <si>
    <t>Category Type</t>
  </si>
  <si>
    <t>Date_Day</t>
  </si>
  <si>
    <t>Date_Month</t>
  </si>
  <si>
    <t>Date_Year</t>
  </si>
  <si>
    <t>Beginning of Week</t>
  </si>
  <si>
    <t>Month</t>
  </si>
  <si>
    <t>Categories</t>
  </si>
  <si>
    <t>Create and edit categories in the blue cells (below the default categories) to fit your specific financial needs. Make transactions glanceable across every sheet.</t>
  </si>
  <si>
    <t>Id</t>
  </si>
  <si>
    <t>Category Name</t>
  </si>
  <si>
    <t>Yes / No</t>
  </si>
  <si>
    <t>Full Categories</t>
  </si>
  <si>
    <t>Clean Categories</t>
  </si>
  <si>
    <t>Income</t>
  </si>
  <si>
    <t>Refund</t>
  </si>
  <si>
    <t>Transfer</t>
  </si>
  <si>
    <t>Auto/Transport</t>
  </si>
  <si>
    <t>Expense</t>
  </si>
  <si>
    <t>Bills/Utilities</t>
  </si>
  <si>
    <t>Entertainment</t>
  </si>
  <si>
    <t>Fees/Charges</t>
  </si>
  <si>
    <t>Groceries</t>
  </si>
  <si>
    <t>Health/Fitness</t>
  </si>
  <si>
    <t>Home</t>
  </si>
  <si>
    <t>Misc</t>
  </si>
  <si>
    <t>Mortgage/Rent</t>
  </si>
  <si>
    <t>Payment</t>
  </si>
  <si>
    <t>Professional Services</t>
  </si>
  <si>
    <t>Restaurants/Dining</t>
  </si>
  <si>
    <t>Shopping</t>
  </si>
  <si>
    <t>Travel</t>
  </si>
  <si>
    <t>Uncategorized</t>
  </si>
  <si>
    <t>June 2020</t>
  </si>
  <si>
    <t>Total spending</t>
  </si>
  <si>
    <t>Total cost</t>
  </si>
  <si>
    <r>
      <t xml:space="preserve">
Default categories
</t>
    </r>
    <r>
      <rPr>
        <sz val="12"/>
        <color theme="1" tint="0.249977111117893"/>
        <rFont val="Calibri"/>
        <family val="2"/>
        <scheme val="minor"/>
      </rPr>
      <t>These categories cannot be edited.</t>
    </r>
  </si>
  <si>
    <r>
      <t xml:space="preserve">
Custom categories
</t>
    </r>
    <r>
      <rPr>
        <sz val="12"/>
        <color theme="1" tint="0.249977111117893"/>
        <rFont val="Calibri"/>
        <family val="2"/>
        <scheme val="minor"/>
      </rPr>
      <t>Add your own categories in column D and set the category type in column E.</t>
    </r>
    <r>
      <rPr>
        <b/>
        <sz val="16"/>
        <color theme="1" tint="0.249977111117893"/>
        <rFont val="Calibri"/>
        <family val="2"/>
        <scheme val="minor"/>
      </rPr>
      <t xml:space="preserve">
</t>
    </r>
    <r>
      <rPr>
        <sz val="12"/>
        <color theme="1" tint="0.249977111117893"/>
        <rFont val="Calibri"/>
        <family val="2"/>
        <scheme val="minor"/>
      </rPr>
      <t xml:space="preserve">
We'll remove duplicate categories automatically.</t>
    </r>
  </si>
  <si>
    <t>Make sure the Money in Excel pane is open. If it's not, click the Money in Excel icon in on the upper right corner of your ribbon.</t>
  </si>
  <si>
    <t>The Money in Excel pane sits to the right of the spreadsheet and is the "brain" of the workbook</t>
  </si>
  <si>
    <t>The Money in Excel pane needs to be open in order to update your workbook with new transactions, capture changes you make to your templates, and view personalized insights on your spending</t>
  </si>
  <si>
    <t>You can also add new templates from the Money in Excel pane for Recurring Expenses and Net Worth</t>
  </si>
  <si>
    <t>Your transactions sheet shows transactions from financial accounts you have connected. The Money in Excel pane will tell you when there are new transactions to update. In order for updates to work correctly, you cannot add columns or rows to the table.</t>
  </si>
  <si>
    <t>Sheets + Money in Excel pane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</si>
</sst>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6" formatCode="&quot;$&quot;#,##0_);[Red]\(&quot;$&quot;#,##0\)"/>
    <numFmt numFmtId="164" formatCode="&quot;$&quot;#,##0.00"/>
    <numFmt numFmtId="165" formatCode="_([$$-409]* #,##0_);_([$$-409]* \(#,##0\);_([$$-409]* &quot;-&quot;??_);_(@_)"/>
    <numFmt numFmtId="166" formatCode="mm/dd/yyyy"/>
    <numFmt numFmtId="167" formatCode="0000"/>
    <numFmt numFmtId="168" formatCode="[$-409]mmm\-yy;@"/>
    <numFmt numFmtId="169" formatCode="[$-409]mmmm\-yy;@"/>
    <numFmt numFmtId="170" formatCode="0.0%"/>
    <numFmt numFmtId="171" formatCode="&quot;$&quot;#,##0"/>
    <numFmt numFmtId="172" formatCode="mmmm\ yyyy"/>
  </numFmts>
  <fonts count="32" x14ac:knownFonts="1">
    <font>
      <sz val="11"/>
      <color theme="1"/>
      <name val="Calibri"/>
      <family val="2"/>
      <scheme val="minor"/>
    </font>
    <font>
      <u/>
      <sz val="11"/>
      <color theme="10"/>
      <name val="Calibri"/>
      <family val="2"/>
      <scheme val="minor"/>
    </font>
    <font>
      <sz val="11"/>
      <color theme="0"/>
      <name val="Calibri"/>
      <family val="2"/>
      <scheme val="minor"/>
    </font>
    <font>
      <sz val="11"/>
      <color theme="1" tint="0.249977111117893"/>
      <name val="Calibri"/>
      <family val="2"/>
      <scheme val="minor"/>
    </font>
    <font>
      <sz val="28"/>
      <color theme="1" tint="0.249977111117893"/>
      <name val="Calibri"/>
      <family val="2"/>
      <scheme val="minor"/>
    </font>
    <font>
      <b/>
      <sz val="11"/>
      <color theme="1"/>
      <name val="Calibri"/>
      <family val="2"/>
      <scheme val="minor"/>
    </font>
    <font>
      <b/>
      <u/>
      <sz val="14"/>
      <color theme="1"/>
      <name val="Calibri"/>
      <family val="2"/>
      <scheme val="minor"/>
    </font>
    <font>
      <sz val="12"/>
      <name val="Calibri"/>
      <family val="2"/>
      <scheme val="minor"/>
    </font>
    <font>
      <sz val="11"/>
      <color rgb="FF0000FF"/>
      <name val="Calibri"/>
      <family val="2"/>
      <scheme val="minor"/>
    </font>
    <font>
      <b/>
      <sz val="14"/>
      <color theme="1"/>
      <name val="Calibri"/>
      <family val="2"/>
      <scheme val="minor"/>
    </font>
    <font>
      <sz val="12"/>
      <color theme="1"/>
      <name val="Calibri"/>
      <family val="2"/>
      <scheme val="minor"/>
    </font>
    <font>
      <sz val="11"/>
      <name val="Calibri"/>
      <family val="2"/>
      <scheme val="minor"/>
    </font>
    <font>
      <sz val="14"/>
      <color theme="1"/>
      <name val="Calibri"/>
      <family val="2"/>
      <scheme val="minor"/>
    </font>
    <font>
      <sz val="11"/>
      <color rgb="FF0078D4"/>
      <name val="Calibri"/>
      <family val="2"/>
      <scheme val="minor"/>
    </font>
    <font>
      <sz val="11"/>
      <color rgb="FF7030A0"/>
      <name val="Calibri"/>
      <family val="2"/>
      <scheme val="minor"/>
    </font>
    <font>
      <b/>
      <u/>
      <sz val="12"/>
      <color theme="1"/>
      <name val="Calibri"/>
      <family val="2"/>
      <scheme val="minor"/>
    </font>
    <font>
      <b/>
      <u/>
      <sz val="11"/>
      <color theme="10"/>
      <name val="Calibri"/>
      <family val="2"/>
      <scheme val="minor"/>
    </font>
    <font>
      <b/>
      <sz val="12"/>
      <color theme="1"/>
      <name val="Calibri"/>
      <family val="2"/>
      <scheme val="minor"/>
    </font>
    <font>
      <i/>
      <sz val="11"/>
      <color theme="1"/>
      <name val="Calibri"/>
      <family val="2"/>
      <scheme val="minor"/>
    </font>
    <font>
      <b/>
      <sz val="11"/>
      <color theme="1" tint="0.249977111117893"/>
      <name val="Calibri"/>
      <family val="2"/>
      <scheme val="minor"/>
    </font>
    <font>
      <b/>
      <sz val="24"/>
      <color rgb="FF2C7B50"/>
      <name val="Calibri"/>
      <family val="2"/>
      <scheme val="minor"/>
    </font>
    <font>
      <sz val="11"/>
      <color rgb="FF2C7B50"/>
      <name val="Calibri"/>
      <family val="2"/>
      <scheme val="minor"/>
    </font>
    <font>
      <sz val="12"/>
      <color theme="1" tint="0.249977111117893"/>
      <name val="Calibri"/>
      <family val="2"/>
      <scheme val="minor"/>
    </font>
    <font>
      <b/>
      <sz val="12"/>
      <color theme="1" tint="0.249977111117893"/>
      <name val="Calibri"/>
      <family val="2"/>
      <scheme val="minor"/>
    </font>
    <font>
      <b/>
      <sz val="14"/>
      <name val="Calibri"/>
      <family val="2"/>
      <scheme val="minor"/>
    </font>
    <font>
      <b/>
      <sz val="12"/>
      <name val="Calibri"/>
      <family val="2"/>
      <scheme val="minor"/>
    </font>
    <font>
      <b/>
      <sz val="11"/>
      <name val="Calibri"/>
      <family val="2"/>
      <scheme val="minor"/>
    </font>
    <font>
      <sz val="11"/>
      <color rgb="FF3078CD"/>
      <name val="Calibri"/>
      <family val="2"/>
      <scheme val="minor"/>
    </font>
    <font>
      <b/>
      <sz val="16"/>
      <color theme="1" tint="0.249977111117893"/>
      <name val="Calibri"/>
      <family val="2"/>
      <scheme val="minor"/>
    </font>
    <font>
      <sz val="12"/>
      <color theme="1" tint="0.499984740745262"/>
      <name val="Calibri"/>
      <family val="2"/>
      <scheme val="minor"/>
    </font>
    <font>
      <sz val="12"/>
      <color theme="4"/>
      <name val="Calibri"/>
      <family val="2"/>
      <scheme val="minor"/>
    </font>
    <font>
      <sz val="12"/>
      <color theme="1" tint="0.34998626667073579"/>
      <name val="Calibri"/>
      <family val="2"/>
      <scheme val="minor"/>
    </font>
  </fonts>
  <fills count="18">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0F8FF"/>
        <bgColor indexed="64"/>
      </patternFill>
    </fill>
    <fill>
      <patternFill patternType="solid">
        <fgColor rgb="FFA0D7FF"/>
        <bgColor indexed="64"/>
      </patternFill>
    </fill>
    <fill>
      <patternFill patternType="solid">
        <fgColor theme="0"/>
        <bgColor indexed="64"/>
      </patternFill>
    </fill>
    <fill>
      <patternFill patternType="solid">
        <fgColor rgb="FF00AE56"/>
        <bgColor indexed="64"/>
      </patternFill>
    </fill>
    <fill>
      <patternFill patternType="solid">
        <fgColor rgb="FFD9D9D9"/>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1D4E88"/>
        <bgColor indexed="64"/>
      </patternFill>
    </fill>
    <fill>
      <patternFill patternType="solid">
        <fgColor rgb="FF33A8B8"/>
        <bgColor indexed="64"/>
      </patternFill>
    </fill>
    <fill>
      <patternFill patternType="solid">
        <fgColor rgb="FF3078CD"/>
        <bgColor indexed="64"/>
      </patternFill>
    </fill>
    <fill>
      <patternFill patternType="solid">
        <fgColor rgb="FFF3AD59"/>
        <bgColor indexed="64"/>
      </patternFill>
    </fill>
    <fill>
      <patternFill patternType="solid">
        <fgColor rgb="FF668A95"/>
        <bgColor indexed="64"/>
      </patternFill>
    </fill>
    <fill>
      <patternFill patternType="solid">
        <fgColor rgb="FFB9D272"/>
        <bgColor indexed="64"/>
      </patternFill>
    </fill>
    <fill>
      <patternFill patternType="solid">
        <fgColor rgb="FFC9DFFA"/>
        <bgColor indexed="64"/>
      </patternFill>
    </fill>
  </fills>
  <borders count="27">
    <border>
      <left/>
      <right/>
      <top/>
      <bottom/>
      <diagonal/>
    </border>
    <border>
      <left/>
      <right/>
      <top style="thin">
        <color indexed="64"/>
      </top>
      <bottom/>
      <diagonal/>
    </border>
    <border>
      <left style="thin">
        <color theme="0" tint="-0.249977111117893"/>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bottom/>
      <diagonal/>
    </border>
    <border>
      <left/>
      <right/>
      <top style="thin">
        <color theme="0" tint="-0.34998626667073579"/>
      </top>
      <bottom style="thin">
        <color theme="0" tint="-0.34998626667073579"/>
      </bottom>
      <diagonal/>
    </border>
    <border>
      <left/>
      <right/>
      <top/>
      <bottom style="medium">
        <color theme="0" tint="-0.499984740745262"/>
      </bottom>
      <diagonal/>
    </border>
    <border>
      <left/>
      <right/>
      <top/>
      <bottom style="thin">
        <color theme="0" tint="-0.34998626667073579"/>
      </bottom>
      <diagonal/>
    </border>
    <border>
      <left/>
      <right/>
      <top style="medium">
        <color theme="0" tint="-0.499984740745262"/>
      </top>
      <bottom/>
      <diagonal/>
    </border>
    <border>
      <left style="thin">
        <color auto="1"/>
      </left>
      <right style="thin">
        <color auto="1"/>
      </right>
      <top/>
      <bottom/>
      <diagonal/>
    </border>
    <border>
      <left style="thin">
        <color auto="1"/>
      </left>
      <right style="thin">
        <color auto="1"/>
      </right>
      <top/>
      <bottom style="medium">
        <color theme="0" tint="-0.499984740745262"/>
      </bottom>
      <diagonal/>
    </border>
    <border>
      <left style="thin">
        <color auto="1"/>
      </left>
      <right style="thin">
        <color auto="1"/>
      </right>
      <top/>
      <bottom style="thin">
        <color theme="0" tint="-0.34998626667073579"/>
      </bottom>
      <diagonal/>
    </border>
    <border>
      <left/>
      <right/>
      <top style="thick">
        <color theme="6"/>
      </top>
      <bottom/>
      <diagonal/>
    </border>
    <border>
      <left style="medium">
        <color rgb="FFD9D9D9"/>
      </left>
      <right/>
      <top style="medium">
        <color rgb="FFD9D9D9"/>
      </top>
      <bottom/>
      <diagonal/>
    </border>
    <border>
      <left/>
      <right/>
      <top style="medium">
        <color rgb="FFD9D9D9"/>
      </top>
      <bottom/>
      <diagonal/>
    </border>
    <border>
      <left/>
      <right style="medium">
        <color rgb="FFD9D9D9"/>
      </right>
      <top style="medium">
        <color rgb="FFD9D9D9"/>
      </top>
      <bottom/>
      <diagonal/>
    </border>
    <border>
      <left style="medium">
        <color rgb="FFD9D9D9"/>
      </left>
      <right/>
      <top/>
      <bottom/>
      <diagonal/>
    </border>
    <border>
      <left/>
      <right style="medium">
        <color rgb="FFD9D9D9"/>
      </right>
      <top/>
      <bottom/>
      <diagonal/>
    </border>
    <border>
      <left style="medium">
        <color rgb="FFD9D9D9"/>
      </left>
      <right/>
      <top/>
      <bottom style="medium">
        <color rgb="FFD9D9D9"/>
      </bottom>
      <diagonal/>
    </border>
    <border>
      <left/>
      <right/>
      <top/>
      <bottom style="medium">
        <color rgb="FFD9D9D9"/>
      </bottom>
      <diagonal/>
    </border>
    <border>
      <left/>
      <right style="medium">
        <color rgb="FFD9D9D9"/>
      </right>
      <top/>
      <bottom style="medium">
        <color rgb="FFD9D9D9"/>
      </bottom>
      <diagonal/>
    </border>
    <border>
      <left style="thick">
        <color rgb="FF75ADF0"/>
      </left>
      <right/>
      <top style="thick">
        <color rgb="FF75ADF0"/>
      </top>
      <bottom style="thick">
        <color rgb="FF75ADF0"/>
      </bottom>
      <diagonal/>
    </border>
    <border>
      <left/>
      <right/>
      <top style="thick">
        <color rgb="FF75ADF0"/>
      </top>
      <bottom style="thick">
        <color rgb="FF75ADF0"/>
      </bottom>
      <diagonal/>
    </border>
    <border>
      <left/>
      <right style="thick">
        <color rgb="FF75ADF0"/>
      </right>
      <top style="thick">
        <color rgb="FF75ADF0"/>
      </top>
      <bottom style="thick">
        <color rgb="FF75ADF0"/>
      </bottom>
      <diagonal/>
    </border>
    <border>
      <left/>
      <right style="thin">
        <color indexed="64"/>
      </right>
      <top style="thin">
        <color theme="0" tint="-0.34998626667073579"/>
      </top>
      <bottom style="thin">
        <color theme="0" tint="-0.34998626667073579"/>
      </bottom>
      <diagonal/>
    </border>
    <border>
      <left/>
      <right/>
      <top/>
      <bottom style="mediumDashed">
        <color auto="1"/>
      </bottom>
      <diagonal/>
    </border>
  </borders>
  <cellStyleXfs count="2">
    <xf numFmtId="0" fontId="0" fillId="0" borderId="0"/>
    <xf numFmtId="0" fontId="1" fillId="0" borderId="0" applyNumberFormat="0" applyFill="0" applyBorder="0" applyAlignment="0" applyProtection="0"/>
  </cellStyleXfs>
  <cellXfs count="164">
    <xf numFmtId="0" fontId="0" fillId="0" borderId="0" xfId="0"/>
    <xf numFmtId="0" fontId="2" fillId="0" borderId="0" xfId="0" applyFont="1"/>
    <xf numFmtId="0" fontId="2" fillId="0" borderId="0" xfId="0" quotePrefix="1" applyFont="1"/>
    <xf numFmtId="0" fontId="3" fillId="2" borderId="3" xfId="0" applyFont="1" applyFill="1" applyBorder="1" applyAlignment="1">
      <alignment vertical="center"/>
    </xf>
    <xf numFmtId="0" fontId="3" fillId="2" borderId="4" xfId="0" applyFont="1" applyFill="1" applyBorder="1" applyAlignment="1">
      <alignment vertical="center"/>
    </xf>
    <xf numFmtId="0" fontId="3" fillId="7" borderId="4" xfId="0" applyFont="1" applyFill="1" applyBorder="1" applyAlignment="1">
      <alignment vertical="center"/>
    </xf>
    <xf numFmtId="0" fontId="3" fillId="7" borderId="0" xfId="0" applyFont="1" applyFill="1" applyAlignment="1">
      <alignment vertical="center"/>
    </xf>
    <xf numFmtId="0" fontId="3" fillId="2" borderId="0" xfId="0" applyFont="1" applyFill="1" applyAlignment="1">
      <alignment vertical="center"/>
    </xf>
    <xf numFmtId="0" fontId="3" fillId="0" borderId="0" xfId="0" applyFont="1" applyAlignment="1">
      <alignment vertical="center"/>
    </xf>
    <xf numFmtId="0" fontId="0" fillId="2" borderId="2" xfId="0" applyFont="1" applyFill="1" applyBorder="1" applyAlignment="1">
      <alignment vertical="center"/>
    </xf>
    <xf numFmtId="0" fontId="0" fillId="2" borderId="0" xfId="0" applyFont="1" applyFill="1" applyAlignment="1">
      <alignment vertical="center"/>
    </xf>
    <xf numFmtId="0" fontId="5" fillId="0" borderId="0" xfId="0" applyFont="1" applyAlignment="1">
      <alignment horizontal="centerContinuous" wrapText="1"/>
    </xf>
    <xf numFmtId="0" fontId="5" fillId="2" borderId="0" xfId="0" applyFont="1" applyFill="1" applyAlignment="1">
      <alignment horizontal="centerContinuous"/>
    </xf>
    <xf numFmtId="0" fontId="6" fillId="0" borderId="0" xfId="0" applyFont="1" applyAlignment="1">
      <alignment horizontal="center" wrapText="1"/>
    </xf>
    <xf numFmtId="14" fontId="0" fillId="2" borderId="0" xfId="0" applyNumberFormat="1" applyFont="1" applyFill="1"/>
    <xf numFmtId="0" fontId="0" fillId="2" borderId="0" xfId="0" applyFont="1" applyFill="1"/>
    <xf numFmtId="0" fontId="0" fillId="0" borderId="0" xfId="0" applyFont="1"/>
    <xf numFmtId="6" fontId="0" fillId="2" borderId="0" xfId="0" applyNumberFormat="1" applyFont="1" applyFill="1"/>
    <xf numFmtId="0" fontId="1" fillId="2" borderId="0" xfId="1" applyFont="1" applyFill="1"/>
    <xf numFmtId="172" fontId="5" fillId="2" borderId="0" xfId="0" applyNumberFormat="1" applyFont="1" applyFill="1"/>
    <xf numFmtId="0" fontId="0" fillId="2" borderId="0" xfId="0" applyFont="1" applyFill="1" applyAlignment="1">
      <alignment wrapText="1"/>
    </xf>
    <xf numFmtId="166" fontId="0" fillId="2" borderId="0" xfId="0" applyNumberFormat="1" applyFont="1" applyFill="1"/>
    <xf numFmtId="0" fontId="0" fillId="0" borderId="2" xfId="0" applyFont="1" applyBorder="1" applyAlignment="1">
      <alignment vertical="center"/>
    </xf>
    <xf numFmtId="0" fontId="0" fillId="0" borderId="0" xfId="0" applyFont="1" applyAlignment="1">
      <alignment vertical="center"/>
    </xf>
    <xf numFmtId="0" fontId="0" fillId="2" borderId="2" xfId="0" applyFont="1" applyFill="1" applyBorder="1"/>
    <xf numFmtId="0" fontId="8" fillId="2" borderId="0" xfId="0" applyFont="1" applyFill="1"/>
    <xf numFmtId="0" fontId="0" fillId="2" borderId="0" xfId="0" applyFont="1" applyFill="1" applyAlignment="1">
      <alignment horizontal="center"/>
    </xf>
    <xf numFmtId="0" fontId="0" fillId="10" borderId="0" xfId="0" applyFont="1" applyFill="1"/>
    <xf numFmtId="0" fontId="0" fillId="10" borderId="0" xfId="0" applyFont="1" applyFill="1" applyAlignment="1">
      <alignment horizontal="center"/>
    </xf>
    <xf numFmtId="169" fontId="0" fillId="10" borderId="0" xfId="0" applyNumberFormat="1" applyFont="1" applyFill="1"/>
    <xf numFmtId="165" fontId="0" fillId="10" borderId="0" xfId="0" applyNumberFormat="1" applyFont="1" applyFill="1"/>
    <xf numFmtId="165" fontId="0" fillId="2" borderId="0" xfId="0" applyNumberFormat="1" applyFont="1" applyFill="1"/>
    <xf numFmtId="14" fontId="0" fillId="10" borderId="0" xfId="0" applyNumberFormat="1" applyFont="1" applyFill="1"/>
    <xf numFmtId="6" fontId="0" fillId="10" borderId="0" xfId="0" applyNumberFormat="1" applyFont="1" applyFill="1"/>
    <xf numFmtId="171" fontId="3" fillId="10" borderId="0" xfId="0" applyNumberFormat="1" applyFont="1" applyFill="1"/>
    <xf numFmtId="0" fontId="0" fillId="2" borderId="14" xfId="0" applyFont="1" applyFill="1" applyBorder="1"/>
    <xf numFmtId="0" fontId="9" fillId="2" borderId="15" xfId="0" applyFont="1" applyFill="1" applyBorder="1"/>
    <xf numFmtId="0" fontId="0" fillId="2" borderId="15" xfId="0" applyFont="1" applyFill="1" applyBorder="1"/>
    <xf numFmtId="0" fontId="0" fillId="0" borderId="15" xfId="0" applyFont="1" applyBorder="1"/>
    <xf numFmtId="0" fontId="0" fillId="2" borderId="16" xfId="0" applyFont="1" applyFill="1" applyBorder="1"/>
    <xf numFmtId="169" fontId="0" fillId="9" borderId="0" xfId="0" applyNumberFormat="1" applyFont="1" applyFill="1"/>
    <xf numFmtId="169" fontId="0" fillId="0" borderId="0" xfId="0" applyNumberFormat="1" applyFont="1"/>
    <xf numFmtId="171" fontId="0" fillId="10" borderId="0" xfId="0" applyNumberFormat="1" applyFont="1" applyFill="1"/>
    <xf numFmtId="0" fontId="0" fillId="2" borderId="17" xfId="0" applyFont="1" applyFill="1" applyBorder="1"/>
    <xf numFmtId="0" fontId="10" fillId="2" borderId="0" xfId="0" applyFont="1" applyFill="1"/>
    <xf numFmtId="0" fontId="0" fillId="2" borderId="18" xfId="0" applyFont="1" applyFill="1" applyBorder="1"/>
    <xf numFmtId="0" fontId="0" fillId="11" borderId="0" xfId="0" applyFont="1" applyFill="1"/>
    <xf numFmtId="0" fontId="11" fillId="0" borderId="0" xfId="0" applyFont="1" applyAlignment="1">
      <alignment horizontal="left"/>
    </xf>
    <xf numFmtId="0" fontId="11" fillId="0" borderId="0" xfId="0" applyFont="1"/>
    <xf numFmtId="171" fontId="11" fillId="0" borderId="0" xfId="0" applyNumberFormat="1" applyFont="1"/>
    <xf numFmtId="0" fontId="12" fillId="0" borderId="0" xfId="0" applyFont="1"/>
    <xf numFmtId="0" fontId="9" fillId="0" borderId="0" xfId="0" applyFont="1" applyAlignment="1">
      <alignment vertical="center"/>
    </xf>
    <xf numFmtId="0" fontId="0" fillId="2" borderId="0" xfId="0" applyFont="1" applyFill="1" applyAlignment="1">
      <alignment horizontal="left"/>
    </xf>
    <xf numFmtId="171" fontId="0" fillId="0" borderId="0" xfId="0" applyNumberFormat="1" applyFont="1"/>
    <xf numFmtId="0" fontId="13" fillId="10" borderId="0" xfId="0" applyFont="1" applyFill="1"/>
    <xf numFmtId="165" fontId="14" fillId="10" borderId="0" xfId="0" applyNumberFormat="1" applyFont="1" applyFill="1"/>
    <xf numFmtId="0" fontId="0" fillId="12" borderId="0" xfId="0" applyFont="1" applyFill="1"/>
    <xf numFmtId="0" fontId="0" fillId="13" borderId="0" xfId="0" applyFont="1" applyFill="1"/>
    <xf numFmtId="0" fontId="5" fillId="0" borderId="0" xfId="0" applyFont="1"/>
    <xf numFmtId="0" fontId="15" fillId="0" borderId="0" xfId="0" applyFont="1"/>
    <xf numFmtId="0" fontId="9" fillId="0" borderId="0" xfId="0" applyFont="1"/>
    <xf numFmtId="170" fontId="16" fillId="0" borderId="0" xfId="1" applyNumberFormat="1" applyFont="1" applyFill="1" applyBorder="1" applyAlignment="1">
      <alignment horizontal="right" vertical="center"/>
    </xf>
    <xf numFmtId="0" fontId="5" fillId="2" borderId="0" xfId="0" applyFont="1" applyFill="1"/>
    <xf numFmtId="0" fontId="10" fillId="0" borderId="0" xfId="0" applyFont="1"/>
    <xf numFmtId="0" fontId="0" fillId="14" borderId="0" xfId="0" applyFont="1" applyFill="1"/>
    <xf numFmtId="171" fontId="0" fillId="2" borderId="0" xfId="0" applyNumberFormat="1" applyFont="1" applyFill="1"/>
    <xf numFmtId="0" fontId="16" fillId="0" borderId="0" xfId="1" applyFont="1" applyFill="1" applyBorder="1" applyAlignment="1">
      <alignment horizontal="right" vertical="center"/>
    </xf>
    <xf numFmtId="0" fontId="0" fillId="15" borderId="0" xfId="0" applyFont="1" applyFill="1"/>
    <xf numFmtId="0" fontId="9" fillId="0" borderId="0" xfId="0" applyFont="1" applyAlignment="1">
      <alignment horizontal="right" vertical="center"/>
    </xf>
    <xf numFmtId="0" fontId="0" fillId="16" borderId="0" xfId="0" applyFont="1" applyFill="1"/>
    <xf numFmtId="0" fontId="17" fillId="2" borderId="0" xfId="0" applyFont="1" applyFill="1"/>
    <xf numFmtId="171" fontId="17" fillId="2" borderId="0" xfId="0" applyNumberFormat="1" applyFont="1" applyFill="1"/>
    <xf numFmtId="0" fontId="16" fillId="0" borderId="0" xfId="1" applyFont="1" applyFill="1" applyBorder="1" applyAlignment="1"/>
    <xf numFmtId="0" fontId="0" fillId="2" borderId="19" xfId="0" applyFont="1" applyFill="1" applyBorder="1"/>
    <xf numFmtId="0" fontId="0" fillId="2" borderId="20" xfId="0" applyFont="1" applyFill="1" applyBorder="1"/>
    <xf numFmtId="0" fontId="0" fillId="2" borderId="21" xfId="0" applyFont="1" applyFill="1" applyBorder="1"/>
    <xf numFmtId="0" fontId="1" fillId="2" borderId="13" xfId="1" applyFont="1" applyFill="1" applyBorder="1"/>
    <xf numFmtId="0" fontId="0" fillId="2" borderId="13" xfId="0" applyFont="1" applyFill="1" applyBorder="1"/>
    <xf numFmtId="0" fontId="18" fillId="2" borderId="13" xfId="0" applyFont="1" applyFill="1" applyBorder="1" applyAlignment="1">
      <alignment horizontal="centerContinuous"/>
    </xf>
    <xf numFmtId="0" fontId="5" fillId="2" borderId="15" xfId="0" applyFont="1" applyFill="1" applyBorder="1" applyAlignment="1">
      <alignment horizontal="center"/>
    </xf>
    <xf numFmtId="0" fontId="19" fillId="0" borderId="0" xfId="0" applyFont="1"/>
    <xf numFmtId="0" fontId="19" fillId="0" borderId="0" xfId="0" applyFont="1" applyAlignment="1">
      <alignment horizontal="right"/>
    </xf>
    <xf numFmtId="0" fontId="16" fillId="0" borderId="20" xfId="1" applyFont="1" applyFill="1" applyBorder="1" applyAlignment="1"/>
    <xf numFmtId="0" fontId="0" fillId="0" borderId="20" xfId="0" applyFont="1" applyBorder="1"/>
    <xf numFmtId="0" fontId="9" fillId="0" borderId="15" xfId="0" applyFont="1" applyBorder="1"/>
    <xf numFmtId="0" fontId="0" fillId="0" borderId="16" xfId="0" applyFont="1" applyBorder="1"/>
    <xf numFmtId="0" fontId="0" fillId="0" borderId="18" xfId="0" applyFont="1" applyBorder="1"/>
    <xf numFmtId="0" fontId="5" fillId="3" borderId="0" xfId="0" applyFont="1" applyFill="1"/>
    <xf numFmtId="0" fontId="5" fillId="3" borderId="0" xfId="0" applyFont="1" applyFill="1" applyAlignment="1">
      <alignment horizontal="right"/>
    </xf>
    <xf numFmtId="0" fontId="19" fillId="0" borderId="18" xfId="0" applyFont="1" applyBorder="1" applyAlignment="1">
      <alignment horizontal="right"/>
    </xf>
    <xf numFmtId="0" fontId="5" fillId="3" borderId="0" xfId="0" applyFont="1" applyFill="1" applyAlignment="1">
      <alignment horizontal="left"/>
    </xf>
    <xf numFmtId="0" fontId="5" fillId="0" borderId="18" xfId="0" applyFont="1" applyBorder="1" applyAlignment="1">
      <alignment horizontal="right"/>
    </xf>
    <xf numFmtId="0" fontId="11" fillId="2" borderId="0" xfId="0" applyFont="1" applyFill="1"/>
    <xf numFmtId="0" fontId="11" fillId="2" borderId="17" xfId="0" applyFont="1" applyFill="1" applyBorder="1"/>
    <xf numFmtId="0" fontId="0" fillId="0" borderId="1" xfId="0" applyFont="1" applyBorder="1"/>
    <xf numFmtId="171" fontId="0" fillId="0" borderId="1" xfId="0" applyNumberFormat="1" applyFont="1" applyBorder="1"/>
    <xf numFmtId="171" fontId="3" fillId="0" borderId="18" xfId="0" applyNumberFormat="1" applyFont="1" applyBorder="1"/>
    <xf numFmtId="0" fontId="0" fillId="0" borderId="1" xfId="0" applyFont="1" applyBorder="1" applyAlignment="1">
      <alignment horizontal="left"/>
    </xf>
    <xf numFmtId="171" fontId="0" fillId="0" borderId="18" xfId="0" applyNumberFormat="1" applyFont="1" applyBorder="1"/>
    <xf numFmtId="0" fontId="0" fillId="10" borderId="0" xfId="0" applyFont="1" applyFill="1" applyAlignment="1">
      <alignment horizontal="left"/>
    </xf>
    <xf numFmtId="0" fontId="0" fillId="0" borderId="0" xfId="0" applyFont="1" applyAlignment="1">
      <alignment horizontal="left"/>
    </xf>
    <xf numFmtId="0" fontId="17" fillId="0" borderId="0" xfId="0" applyFont="1" applyAlignment="1">
      <alignment vertical="center"/>
    </xf>
    <xf numFmtId="171" fontId="20" fillId="0" borderId="0" xfId="0" applyNumberFormat="1" applyFont="1" applyAlignment="1">
      <alignment vertical="center"/>
    </xf>
    <xf numFmtId="171" fontId="21" fillId="0" borderId="0" xfId="0" applyNumberFormat="1" applyFont="1" applyAlignment="1">
      <alignment vertical="center"/>
    </xf>
    <xf numFmtId="171" fontId="21" fillId="0" borderId="0" xfId="0" applyNumberFormat="1" applyFont="1"/>
    <xf numFmtId="0" fontId="3" fillId="0" borderId="3" xfId="0" applyFont="1" applyBorder="1" applyAlignment="1">
      <alignment vertical="center"/>
    </xf>
    <xf numFmtId="164" fontId="3" fillId="7" borderId="4" xfId="0" applyNumberFormat="1" applyFont="1" applyFill="1" applyBorder="1" applyAlignment="1">
      <alignment vertical="center"/>
    </xf>
    <xf numFmtId="0" fontId="3" fillId="7" borderId="4" xfId="0" applyFont="1" applyFill="1" applyBorder="1" applyAlignment="1">
      <alignment horizontal="right" vertical="center"/>
    </xf>
    <xf numFmtId="0" fontId="3" fillId="7" borderId="5" xfId="0" applyFont="1" applyFill="1" applyBorder="1" applyAlignment="1">
      <alignment vertical="center"/>
    </xf>
    <xf numFmtId="0" fontId="3" fillId="6" borderId="0" xfId="0" applyFont="1" applyFill="1" applyAlignment="1">
      <alignment vertical="center"/>
    </xf>
    <xf numFmtId="0" fontId="3" fillId="6" borderId="0" xfId="0" applyFont="1" applyFill="1" applyAlignment="1">
      <alignment horizontal="right" vertical="center"/>
    </xf>
    <xf numFmtId="0" fontId="0" fillId="6" borderId="0" xfId="0" applyFont="1" applyFill="1" applyAlignment="1">
      <alignment vertical="center"/>
    </xf>
    <xf numFmtId="0" fontId="3" fillId="3" borderId="0" xfId="0" applyFont="1" applyFill="1" applyAlignment="1">
      <alignment vertical="center"/>
    </xf>
    <xf numFmtId="0" fontId="24" fillId="0" borderId="0" xfId="0" applyFont="1"/>
    <xf numFmtId="166" fontId="25" fillId="0" borderId="0" xfId="0" applyNumberFormat="1" applyFont="1" applyAlignment="1">
      <alignment vertical="center"/>
    </xf>
    <xf numFmtId="0" fontId="25" fillId="0" borderId="0" xfId="0" applyFont="1" applyAlignment="1" applyProtection="1">
      <alignment vertical="center"/>
      <protection locked="0"/>
    </xf>
    <xf numFmtId="164" fontId="25" fillId="0" borderId="0" xfId="0" applyNumberFormat="1" applyFont="1" applyAlignment="1">
      <alignment horizontal="right" vertical="center" indent="2"/>
    </xf>
    <xf numFmtId="0" fontId="25" fillId="0" borderId="0" xfId="0" applyFont="1" applyAlignment="1">
      <alignment vertical="center"/>
    </xf>
    <xf numFmtId="167" fontId="25" fillId="0" borderId="0" xfId="0" applyNumberFormat="1" applyFont="1" applyAlignment="1">
      <alignment vertical="center"/>
    </xf>
    <xf numFmtId="0" fontId="26" fillId="0" borderId="0" xfId="0" applyFont="1" applyAlignment="1">
      <alignment vertical="center"/>
    </xf>
    <xf numFmtId="14" fontId="0" fillId="0" borderId="0" xfId="0" applyNumberFormat="1" applyFont="1" applyAlignment="1">
      <alignment horizontal="left"/>
    </xf>
    <xf numFmtId="0" fontId="27" fillId="0" borderId="0" xfId="0" applyFont="1"/>
    <xf numFmtId="164" fontId="5" fillId="0" borderId="0" xfId="0" applyNumberFormat="1" applyFont="1"/>
    <xf numFmtId="0" fontId="7" fillId="0" borderId="0" xfId="0" applyFont="1" applyFill="1" applyAlignment="1" applyProtection="1">
      <alignment horizontal="left"/>
    </xf>
    <xf numFmtId="0" fontId="7" fillId="0" borderId="0" xfId="0" applyNumberFormat="1" applyFont="1" applyFill="1" applyAlignment="1" applyProtection="1">
      <alignment horizontal="left"/>
    </xf>
    <xf numFmtId="14" fontId="7" fillId="0" borderId="0" xfId="0" applyNumberFormat="1" applyFont="1" applyFill="1" applyAlignment="1" applyProtection="1">
      <alignment horizontal="left"/>
    </xf>
    <xf numFmtId="168" fontId="7" fillId="0" borderId="0" xfId="0" applyNumberFormat="1" applyFont="1" applyFill="1" applyAlignment="1" applyProtection="1">
      <alignment horizontal="left"/>
    </xf>
    <xf numFmtId="164" fontId="0" fillId="0" borderId="0" xfId="0" applyNumberFormat="1" applyFont="1"/>
    <xf numFmtId="0" fontId="0" fillId="0" borderId="26" xfId="0" applyFont="1" applyBorder="1" applyAlignment="1">
      <alignment horizontal="centerContinuous"/>
    </xf>
    <xf numFmtId="0" fontId="26" fillId="0" borderId="0" xfId="0" applyFont="1"/>
    <xf numFmtId="0" fontId="23" fillId="0" borderId="0" xfId="0" applyFont="1" applyBorder="1"/>
    <xf numFmtId="0" fontId="23" fillId="0" borderId="0" xfId="0" applyFont="1"/>
    <xf numFmtId="0" fontId="11" fillId="0" borderId="0" xfId="0" applyFont="1" applyAlignment="1"/>
    <xf numFmtId="0" fontId="29" fillId="0" borderId="0" xfId="0" applyFont="1"/>
    <xf numFmtId="0" fontId="29" fillId="0" borderId="10" xfId="0" applyFont="1" applyBorder="1"/>
    <xf numFmtId="0" fontId="11" fillId="0" borderId="1" xfId="0" applyFont="1" applyBorder="1"/>
    <xf numFmtId="0" fontId="29" fillId="0" borderId="7" xfId="0" applyFont="1" applyBorder="1"/>
    <xf numFmtId="0" fontId="29" fillId="0" borderId="11" xfId="0" applyFont="1" applyBorder="1"/>
    <xf numFmtId="0" fontId="30" fillId="4" borderId="12" xfId="0" applyFont="1" applyFill="1" applyBorder="1" applyProtection="1">
      <protection locked="0"/>
    </xf>
    <xf numFmtId="0" fontId="30" fillId="4" borderId="8" xfId="0" applyFont="1" applyFill="1" applyBorder="1" applyProtection="1">
      <protection locked="0"/>
    </xf>
    <xf numFmtId="0" fontId="31" fillId="0" borderId="0" xfId="0" applyFont="1"/>
    <xf numFmtId="0" fontId="4" fillId="6" borderId="0" xfId="0" applyFont="1" applyFill="1" applyAlignment="1">
      <alignment wrapText="1"/>
    </xf>
    <xf numFmtId="0" fontId="0" fillId="0" borderId="0" xfId="0" applyFont="1" applyAlignment="1">
      <alignment wrapText="1"/>
    </xf>
    <xf numFmtId="0" fontId="7" fillId="6" borderId="0" xfId="0" applyFont="1" applyFill="1" applyAlignment="1">
      <alignment horizontal="left" vertical="center" wrapText="1"/>
    </xf>
    <xf numFmtId="0" fontId="7" fillId="6" borderId="0" xfId="0" applyFont="1" applyFill="1" applyAlignment="1">
      <alignment vertical="center" wrapText="1"/>
    </xf>
    <xf numFmtId="0" fontId="30" fillId="4" borderId="9" xfId="0" applyFont="1" applyFill="1" applyBorder="1" applyProtection="1">
      <protection locked="0"/>
    </xf>
    <xf numFmtId="0" fontId="30" fillId="4" borderId="6" xfId="0" applyFont="1" applyFill="1" applyBorder="1" applyProtection="1">
      <protection locked="0"/>
    </xf>
    <xf numFmtId="0" fontId="30" fillId="4" borderId="25" xfId="0" applyFont="1" applyFill="1" applyBorder="1" applyProtection="1">
      <protection locked="0"/>
    </xf>
    <xf numFmtId="0" fontId="4" fillId="6" borderId="0" xfId="0" applyFont="1" applyFill="1" applyAlignment="1">
      <alignment wrapText="1"/>
    </xf>
    <xf numFmtId="0" fontId="0" fillId="0" borderId="0" xfId="0" applyFont="1" applyAlignment="1">
      <alignment wrapText="1"/>
    </xf>
    <xf numFmtId="172" fontId="7" fillId="17" borderId="22" xfId="0" applyNumberFormat="1" applyFont="1" applyFill="1" applyBorder="1" applyAlignment="1" applyProtection="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7" fillId="6" borderId="0" xfId="0" applyFont="1" applyFill="1" applyAlignment="1">
      <alignment horizontal="left" vertical="center" wrapText="1"/>
    </xf>
    <xf numFmtId="0" fontId="0" fillId="0" borderId="0" xfId="0" applyFont="1" applyAlignment="1">
      <alignment vertical="center" wrapText="1"/>
    </xf>
    <xf numFmtId="0" fontId="0" fillId="6" borderId="0" xfId="0" applyFont="1" applyFill="1" applyAlignment="1">
      <alignment wrapText="1"/>
    </xf>
    <xf numFmtId="0" fontId="22" fillId="6" borderId="0" xfId="0" applyFont="1" applyFill="1" applyAlignment="1">
      <alignment horizontal="left" vertical="center" wrapText="1"/>
    </xf>
    <xf numFmtId="0" fontId="3" fillId="0" borderId="0" xfId="0" applyFont="1" applyAlignment="1">
      <alignment vertical="center" wrapText="1"/>
    </xf>
    <xf numFmtId="0" fontId="28" fillId="8" borderId="0" xfId="0" applyFont="1" applyFill="1" applyAlignment="1">
      <alignment horizontal="left" vertical="top" wrapText="1"/>
    </xf>
    <xf numFmtId="0" fontId="28" fillId="8" borderId="0" xfId="0" applyFont="1" applyFill="1" applyAlignment="1">
      <alignment horizontal="left" vertical="top"/>
    </xf>
    <xf numFmtId="0" fontId="7" fillId="6" borderId="0" xfId="0" applyFont="1" applyFill="1" applyAlignment="1">
      <alignment vertical="center" wrapText="1"/>
    </xf>
    <xf numFmtId="0" fontId="28" fillId="5" borderId="9" xfId="0" applyFont="1" applyFill="1" applyBorder="1" applyAlignment="1">
      <alignment horizontal="left" vertical="top" wrapText="1"/>
    </xf>
    <xf numFmtId="0" fontId="28" fillId="5" borderId="0" xfId="0" applyFont="1" applyFill="1" applyAlignment="1">
      <alignment horizontal="left" vertical="top" wrapText="1"/>
    </xf>
    <xf numFmtId="0" fontId="0" fillId="0" borderId="0" xfId="0" applyFont="1" applyAlignment="1">
      <alignment vertical="top" wrapText="1"/>
    </xf>
  </cellXfs>
  <cellStyles count="2">
    <cellStyle name="Hyperlink" xfId="1" builtinId="8"/>
    <cellStyle name="Normal" xfId="0" builtinId="0"/>
  </cellStyles>
  <dxfs count="48">
    <dxf>
      <font>
        <b val="0"/>
        <i val="0"/>
        <strike val="0"/>
        <condense val="0"/>
        <extend val="0"/>
        <outline val="0"/>
        <shadow val="0"/>
        <u val="none"/>
        <vertAlign val="baseline"/>
        <sz val="12"/>
        <color theme="4"/>
        <name val="Calibri"/>
        <family val="2"/>
        <scheme val="minor"/>
      </font>
      <fill>
        <patternFill patternType="solid">
          <fgColor indexed="64"/>
          <bgColor rgb="FFF0F8FF"/>
        </patternFill>
      </fill>
      <border diagonalUp="0" diagonalDown="0" outline="0">
        <left/>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2"/>
        <color theme="4"/>
        <name val="Calibri"/>
        <family val="2"/>
        <scheme val="minor"/>
      </font>
      <fill>
        <patternFill patternType="solid">
          <fgColor indexed="64"/>
          <bgColor rgb="FFF0F8FF"/>
        </patternFill>
      </fill>
      <border diagonalUp="0" diagonalDown="0" outline="0">
        <left style="thin">
          <color auto="1"/>
        </left>
        <right style="thin">
          <color auto="1"/>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2"/>
        <color theme="4"/>
        <name val="Calibri"/>
        <family val="2"/>
        <scheme val="minor"/>
      </font>
      <fill>
        <patternFill patternType="solid">
          <fgColor indexed="64"/>
          <bgColor rgb="FFF0F8FF"/>
        </patternFill>
      </fill>
      <border diagonalUp="0" diagonalDown="0" outline="0">
        <left/>
        <right style="thin">
          <color indexed="64"/>
        </right>
        <top style="thin">
          <color theme="0" tint="-0.34998626667073579"/>
        </top>
        <bottom style="thin">
          <color theme="0" tint="-0.34998626667073579"/>
        </bottom>
      </border>
      <protection locked="1" hidden="0"/>
    </dxf>
    <dxf>
      <border diagonalUp="0" diagonalDown="0">
        <left style="thin">
          <color indexed="64"/>
        </left>
        <right/>
        <top/>
        <bottom style="thin">
          <color theme="0" tint="-0.34998626667073579"/>
        </bottom>
      </border>
    </dxf>
    <dxf>
      <font>
        <strike val="0"/>
        <outline val="0"/>
        <shadow val="0"/>
        <u val="none"/>
        <vertAlign val="baseline"/>
        <sz val="12"/>
        <name val="Calibri"/>
        <family val="2"/>
        <scheme val="minor"/>
      </font>
      <protection locked="1" hidden="0"/>
    </dxf>
    <dxf>
      <font>
        <strike val="0"/>
        <outline val="0"/>
        <shadow val="0"/>
        <u val="none"/>
        <vertAlign val="baseline"/>
        <sz val="12"/>
        <color theme="1" tint="0.249977111117893"/>
        <name val="Calibri"/>
        <family val="2"/>
        <scheme val="minor"/>
      </font>
      <fill>
        <patternFill patternType="none">
          <fgColor indexed="64"/>
          <bgColor auto="1"/>
        </patternFill>
      </fill>
      <protection locked="1" hidden="0"/>
    </dxf>
    <dxf>
      <fill>
        <patternFill>
          <bgColor theme="7" tint="0.79998168889431442"/>
        </patternFill>
      </fill>
    </dxf>
    <dxf>
      <fill>
        <patternFill>
          <bgColor theme="7" tint="0.79998168889431442"/>
        </patternFill>
      </fill>
    </dxf>
    <dxf>
      <font>
        <b val="0"/>
        <strike val="0"/>
        <outline val="0"/>
        <shadow val="0"/>
        <u val="none"/>
        <vertAlign val="baseline"/>
        <sz val="12"/>
        <color auto="1"/>
        <name val="Calibri"/>
        <family val="2"/>
        <scheme val="minor"/>
      </font>
      <numFmt numFmtId="168" formatCode="[$-409]mmm\-yy;@"/>
      <fill>
        <patternFill patternType="none">
          <fgColor indexed="64"/>
          <bgColor indexed="65"/>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173" formatCode="m/d/yyyy"/>
      <fill>
        <patternFill patternType="none">
          <fgColor indexed="64"/>
          <bgColor auto="1"/>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0" formatCode="General"/>
      <fill>
        <patternFill patternType="none">
          <fgColor indexed="64"/>
          <bgColor auto="1"/>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0" formatCode="General"/>
      <fill>
        <patternFill patternType="none">
          <fgColor indexed="64"/>
          <bgColor auto="1"/>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0" formatCode="General"/>
      <fill>
        <patternFill patternType="none">
          <fgColor indexed="64"/>
          <bgColor auto="1"/>
        </patternFill>
      </fill>
      <alignment horizontal="left" textRotation="0" wrapText="0" indent="0" justifyLastLine="0" shrinkToFit="0" readingOrder="0"/>
      <protection locked="1"/>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left" textRotation="0" wrapText="0" indent="0" justifyLastLine="0" shrinkToFit="0" readingOrder="0"/>
      <protection locked="1" hidden="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textRotation="0" wrapText="0" indent="0" justifyLastLine="0" shrinkToFit="0" readingOrder="0"/>
      <protection locked="1" hidden="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textRotation="0" wrapText="0" indent="0" justifyLastLine="0" shrinkToFit="0" readingOrder="0"/>
      <protection locked="1" hidden="0"/>
    </dxf>
    <dxf>
      <font>
        <b val="0"/>
        <strike val="0"/>
        <outline val="0"/>
        <shadow val="0"/>
        <u val="none"/>
        <vertAlign val="baseline"/>
        <name val="Calibri"/>
        <family val="2"/>
        <scheme val="minor"/>
      </font>
      <alignment horizontal="left" textRotation="0" wrapText="0" indent="0" justifyLastLine="0" shrinkToFit="0" readingOrder="0"/>
    </dxf>
    <dxf>
      <font>
        <b val="0"/>
        <strike val="0"/>
        <outline val="0"/>
        <shadow val="0"/>
        <u val="none"/>
        <vertAlign val="baseline"/>
        <name val="Calibri"/>
        <family val="2"/>
        <scheme val="minor"/>
      </font>
      <alignment horizontal="left" vertical="bottom" textRotation="0" wrapText="0" indent="0" justifyLastLine="0" shrinkToFit="0" readingOrder="0"/>
    </dxf>
    <dxf>
      <font>
        <b val="0"/>
        <strike val="0"/>
        <outline val="0"/>
        <shadow val="0"/>
        <u val="none"/>
        <vertAlign val="baseline"/>
        <name val="Calibri"/>
        <family val="2"/>
        <scheme val="minor"/>
      </font>
      <alignment horizontal="left" vertical="bottom" textRotation="0" wrapText="0" indent="0" justifyLastLine="0" shrinkToFit="0" readingOrder="0"/>
    </dxf>
    <dxf>
      <font>
        <b val="0"/>
        <strike val="0"/>
        <outline val="0"/>
        <shadow val="0"/>
        <u val="none"/>
        <vertAlign val="baseline"/>
        <name val="Calibri"/>
        <family val="2"/>
        <scheme val="minor"/>
      </font>
    </dxf>
    <dxf>
      <font>
        <b/>
        <strike val="0"/>
        <outline val="0"/>
        <shadow val="0"/>
        <u val="none"/>
        <vertAlign val="baseline"/>
        <name val="Calibri"/>
        <family val="2"/>
        <scheme val="minor"/>
      </font>
      <numFmt numFmtId="164" formatCode="&quot;$&quot;#,##0.00"/>
    </dxf>
    <dxf>
      <font>
        <strike val="0"/>
        <outline val="0"/>
        <shadow val="0"/>
        <u val="none"/>
        <vertAlign val="baseline"/>
        <sz val="11"/>
        <color rgb="FF3078CD"/>
        <name val="Calibri"/>
        <family val="2"/>
        <scheme val="minor"/>
      </font>
    </dxf>
    <dxf>
      <font>
        <strike val="0"/>
        <outline val="0"/>
        <shadow val="0"/>
        <u val="none"/>
        <vertAlign val="baseline"/>
        <sz val="11"/>
        <color rgb="FF3078CD"/>
        <name val="Calibri"/>
        <family val="2"/>
        <scheme val="minor"/>
      </font>
    </dxf>
    <dxf>
      <font>
        <b val="0"/>
        <strike val="0"/>
        <outline val="0"/>
        <shadow val="0"/>
        <u val="none"/>
        <vertAlign val="baseline"/>
        <name val="Calibri"/>
        <family val="2"/>
        <scheme val="minor"/>
      </font>
      <numFmt numFmtId="173" formatCode="m/d/yyyy"/>
      <alignment horizontal="lef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dxf>
    <dxf>
      <font>
        <b/>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border outline="0">
        <left style="thin">
          <color rgb="FF757171"/>
        </left>
        <right style="thin">
          <color rgb="FF757171"/>
        </right>
        <top/>
        <bottom/>
      </border>
    </dxf>
    <dxf>
      <fill>
        <patternFill>
          <bgColor theme="7" tint="0.79998168889431442"/>
        </patternFill>
      </fill>
    </dxf>
    <dxf>
      <fill>
        <patternFill patternType="none">
          <bgColor auto="1"/>
        </patternFill>
      </fill>
    </dxf>
    <dxf>
      <font>
        <color rgb="FF45CD86"/>
      </font>
    </dxf>
    <dxf>
      <font>
        <color theme="0"/>
      </font>
    </dxf>
    <dxf>
      <fill>
        <patternFill>
          <bgColor theme="0"/>
        </patternFill>
      </fill>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ED7D31"/>
      </font>
    </dxf>
    <dxf>
      <font>
        <color rgb="FF45CD86"/>
      </font>
    </dxf>
    <dxf>
      <font>
        <color theme="1" tint="0.24994659260841701"/>
      </font>
      <fill>
        <patternFill>
          <bgColor rgb="FFF2F2F2"/>
        </patternFill>
      </fill>
    </dxf>
    <dxf>
      <font>
        <color theme="1" tint="0.24994659260841701"/>
      </font>
    </dxf>
    <dxf>
      <font>
        <b/>
        <i val="0"/>
        <color theme="1" tint="0.24994659260841701"/>
      </font>
      <fill>
        <patternFill>
          <bgColor rgb="FFD9D9D9"/>
        </patternFill>
      </fill>
    </dxf>
    <dxf>
      <font>
        <color theme="1" tint="0.24994659260841701"/>
      </font>
      <border>
        <bottom style="medium">
          <color auto="1"/>
        </bottom>
      </border>
    </dxf>
  </dxfs>
  <tableStyles count="1" defaultTableStyle="TableStyleMedium2" defaultPivotStyle="PivotStyleLight16">
    <tableStyle name="Money" pivot="0" count="4" xr9:uid="{6228888A-2780-43A9-88A7-521EB3AA6695}">
      <tableStyleElement type="wholeTable" dxfId="47"/>
      <tableStyleElement type="headerRow" dxfId="46"/>
      <tableStyleElement type="firstRowStripe" dxfId="45"/>
      <tableStyleElement type="secondRowStripe" dxfId="44"/>
    </tableStyle>
  </tableStyles>
  <colors>
    <mruColors>
      <color rgb="FF96A6AA"/>
      <color rgb="FF3078CD"/>
      <color rgb="FF45CD86"/>
      <color rgb="FF75ADF0"/>
      <color rgb="FFC9DFFA"/>
      <color rgb="FFD9D9D9"/>
      <color rgb="FFB9D272"/>
      <color rgb="FF668A95"/>
      <color rgb="FFF3AD59"/>
      <color rgb="FF33A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5CD86"/>
            </a:solidFill>
            <a:ln>
              <a:noFill/>
            </a:ln>
            <a:effectLst/>
          </c:spPr>
          <c:invertIfNegative val="0"/>
          <c:dPt>
            <c:idx val="0"/>
            <c:invertIfNegative val="0"/>
            <c:bubble3D val="0"/>
            <c:spPr>
              <a:solidFill>
                <a:srgbClr val="96A6AA"/>
              </a:solidFill>
              <a:ln>
                <a:noFill/>
              </a:ln>
              <a:effectLst/>
            </c:spPr>
            <c:extLst>
              <c:ext xmlns:c16="http://schemas.microsoft.com/office/drawing/2014/chart" uri="{C3380CC4-5D6E-409C-BE32-E72D297353CC}">
                <c16:uniqueId val="{00000001-2147-4A4C-8379-B8608511BA9D}"/>
              </c:ext>
            </c:extLst>
          </c:dPt>
          <c:dPt>
            <c:idx val="1"/>
            <c:invertIfNegative val="0"/>
            <c:bubble3D val="0"/>
            <c:spPr>
              <a:solidFill>
                <a:srgbClr val="3078CD"/>
              </a:solidFill>
              <a:ln>
                <a:noFill/>
              </a:ln>
              <a:effectLst/>
            </c:spPr>
            <c:extLst>
              <c:ext xmlns:c16="http://schemas.microsoft.com/office/drawing/2014/chart" uri="{C3380CC4-5D6E-409C-BE32-E72D297353CC}">
                <c16:uniqueId val="{00000000-2147-4A4C-8379-B8608511BA9D}"/>
              </c:ext>
            </c:extLst>
          </c:dPt>
          <c:dLbls>
            <c:numFmt formatCode="&quot;$&quot;#,##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Snapshot!$Y$7:$Y$8</c:f>
              <c:strCache>
                <c:ptCount val="2"/>
                <c:pt idx="0">
                  <c:v>--</c:v>
                </c:pt>
                <c:pt idx="1">
                  <c:v>--</c:v>
                </c:pt>
              </c:strCache>
            </c:strRef>
          </c:cat>
          <c:val>
            <c:numRef>
              <c:f>Snapshot!$Z$7:$Z$8</c:f>
              <c:numCache>
                <c:formatCode>"$"#,##0</c:formatCode>
                <c:ptCount val="2"/>
                <c:pt idx="0">
                  <c:v>0</c:v>
                </c:pt>
                <c:pt idx="1">
                  <c:v>0</c:v>
                </c:pt>
              </c:numCache>
            </c:numRef>
          </c:val>
          <c:extLst>
            <c:ext xmlns:c16="http://schemas.microsoft.com/office/drawing/2014/chart" uri="{C3380CC4-5D6E-409C-BE32-E72D297353CC}">
              <c16:uniqueId val="{00000002-E73C-4646-85C8-B43ECEDFDB65}"/>
            </c:ext>
          </c:extLst>
        </c:ser>
        <c:dLbls>
          <c:showLegendKey val="0"/>
          <c:showVal val="1"/>
          <c:showCatName val="0"/>
          <c:showSerName val="0"/>
          <c:showPercent val="0"/>
          <c:showBubbleSize val="0"/>
        </c:dLbls>
        <c:gapWidth val="75"/>
        <c:axId val="2140615712"/>
        <c:axId val="1714516704"/>
      </c:barChart>
      <c:catAx>
        <c:axId val="21406157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1714516704"/>
        <c:crosses val="autoZero"/>
        <c:auto val="1"/>
        <c:lblAlgn val="ctr"/>
        <c:lblOffset val="100"/>
        <c:noMultiLvlLbl val="1"/>
      </c:catAx>
      <c:valAx>
        <c:axId val="1714516704"/>
        <c:scaling>
          <c:orientation val="minMax"/>
        </c:scaling>
        <c:delete val="1"/>
        <c:axPos val="l"/>
        <c:numFmt formatCode="&quot;$&quot;#,##0" sourceLinked="1"/>
        <c:majorTickMark val="none"/>
        <c:minorTickMark val="none"/>
        <c:tickLblPos val="nextTo"/>
        <c:crossAx val="2140615712"/>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noFill/>
      <a:round/>
    </a:ln>
    <a:effectLst/>
  </c:spPr>
  <c:txPr>
    <a:bodyPr/>
    <a:lstStyle/>
    <a:p>
      <a:pPr>
        <a:defRPr>
          <a:latin typeface="+mn-lt"/>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916705406325925E-2"/>
          <c:y val="4.8958988406005077E-3"/>
          <c:w val="0.80579227002812803"/>
          <c:h val="0.96963679102250011"/>
        </c:manualLayout>
      </c:layout>
      <c:doughnutChart>
        <c:varyColors val="1"/>
        <c:ser>
          <c:idx val="0"/>
          <c:order val="0"/>
          <c:dPt>
            <c:idx val="0"/>
            <c:bubble3D val="0"/>
            <c:spPr>
              <a:solidFill>
                <a:srgbClr val="1D4E88"/>
              </a:solidFill>
              <a:ln w="19050">
                <a:solidFill>
                  <a:schemeClr val="lt1"/>
                </a:solidFill>
              </a:ln>
              <a:effectLst/>
            </c:spPr>
            <c:extLst>
              <c:ext xmlns:c16="http://schemas.microsoft.com/office/drawing/2014/chart" uri="{C3380CC4-5D6E-409C-BE32-E72D297353CC}">
                <c16:uniqueId val="{00000001-0171-4877-9346-4178E7D4C2A5}"/>
              </c:ext>
            </c:extLst>
          </c:dPt>
          <c:dPt>
            <c:idx val="1"/>
            <c:bubble3D val="0"/>
            <c:spPr>
              <a:solidFill>
                <a:srgbClr val="33A8B8"/>
              </a:solidFill>
              <a:ln w="19050">
                <a:solidFill>
                  <a:schemeClr val="lt1"/>
                </a:solidFill>
              </a:ln>
              <a:effectLst/>
            </c:spPr>
            <c:extLst>
              <c:ext xmlns:c16="http://schemas.microsoft.com/office/drawing/2014/chart" uri="{C3380CC4-5D6E-409C-BE32-E72D297353CC}">
                <c16:uniqueId val="{00000003-0171-4877-9346-4178E7D4C2A5}"/>
              </c:ext>
            </c:extLst>
          </c:dPt>
          <c:dPt>
            <c:idx val="2"/>
            <c:bubble3D val="0"/>
            <c:spPr>
              <a:solidFill>
                <a:srgbClr val="3078CD"/>
              </a:solidFill>
              <a:ln w="19050">
                <a:solidFill>
                  <a:schemeClr val="lt1"/>
                </a:solidFill>
              </a:ln>
              <a:effectLst/>
            </c:spPr>
            <c:extLst>
              <c:ext xmlns:c16="http://schemas.microsoft.com/office/drawing/2014/chart" uri="{C3380CC4-5D6E-409C-BE32-E72D297353CC}">
                <c16:uniqueId val="{00000005-0171-4877-9346-4178E7D4C2A5}"/>
              </c:ext>
            </c:extLst>
          </c:dPt>
          <c:dPt>
            <c:idx val="3"/>
            <c:bubble3D val="0"/>
            <c:spPr>
              <a:solidFill>
                <a:srgbClr val="F3AD59"/>
              </a:solidFill>
              <a:ln w="19050">
                <a:solidFill>
                  <a:schemeClr val="lt1"/>
                </a:solidFill>
              </a:ln>
              <a:effectLst/>
            </c:spPr>
            <c:extLst>
              <c:ext xmlns:c16="http://schemas.microsoft.com/office/drawing/2014/chart" uri="{C3380CC4-5D6E-409C-BE32-E72D297353CC}">
                <c16:uniqueId val="{00000007-0171-4877-9346-4178E7D4C2A5}"/>
              </c:ext>
            </c:extLst>
          </c:dPt>
          <c:dPt>
            <c:idx val="4"/>
            <c:bubble3D val="0"/>
            <c:spPr>
              <a:solidFill>
                <a:srgbClr val="668A95"/>
              </a:solidFill>
              <a:ln w="19050">
                <a:solidFill>
                  <a:schemeClr val="lt1"/>
                </a:solidFill>
              </a:ln>
              <a:effectLst/>
            </c:spPr>
            <c:extLst>
              <c:ext xmlns:c16="http://schemas.microsoft.com/office/drawing/2014/chart" uri="{C3380CC4-5D6E-409C-BE32-E72D297353CC}">
                <c16:uniqueId val="{00000009-0171-4877-9346-4178E7D4C2A5}"/>
              </c:ext>
            </c:extLst>
          </c:dPt>
          <c:dPt>
            <c:idx val="5"/>
            <c:bubble3D val="0"/>
            <c:spPr>
              <a:solidFill>
                <a:srgbClr val="B9D272"/>
              </a:solidFill>
              <a:ln w="19050">
                <a:solidFill>
                  <a:schemeClr val="lt1"/>
                </a:solidFill>
              </a:ln>
              <a:effectLst/>
            </c:spPr>
            <c:extLst>
              <c:ext xmlns:c16="http://schemas.microsoft.com/office/drawing/2014/chart" uri="{C3380CC4-5D6E-409C-BE32-E72D297353CC}">
                <c16:uniqueId val="{0000000B-0171-4877-9346-4178E7D4C2A5}"/>
              </c:ext>
            </c:extLst>
          </c:dPt>
          <c:dLbls>
            <c:delete val="1"/>
          </c:dLbls>
          <c:cat>
            <c:multiLvlStrRef>
              <c:f>Snapshot!$AG$6:$AG$11</c:f>
            </c:multiLvlStrRef>
          </c:cat>
          <c:val>
            <c:numRef>
              <c:f>Snapshot!$AH$6:$AH$11</c:f>
              <c:numCache>
                <c:formatCode>_([$$-409]* #,##0_);_([$$-409]* \(#,##0\);_([$$-409]* "-"??_);_(@_)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0171-4877-9346-4178E7D4C2A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777191337166094E-2"/>
          <c:y val="5.8818873237538989E-2"/>
          <c:w val="0.90139033187959261"/>
          <c:h val="0.70032731418793748"/>
        </c:manualLayout>
      </c:layout>
      <c:lineChart>
        <c:grouping val="standard"/>
        <c:varyColors val="0"/>
        <c:ser>
          <c:idx val="0"/>
          <c:order val="0"/>
          <c:tx>
            <c:strRef>
              <c:f>Snapshot!$AM$4</c:f>
              <c:strCache>
                <c:ptCount val="1"/>
                <c:pt idx="0">
                  <c:v>#N/A</c:v>
                </c:pt>
              </c:strCache>
            </c:strRef>
          </c:tx>
          <c:spPr>
            <a:ln w="28575" cap="rnd">
              <a:solidFill>
                <a:srgbClr val="3078CD"/>
              </a:solidFill>
              <a:round/>
            </a:ln>
            <a:effectLst/>
          </c:spPr>
          <c:marker>
            <c:symbol val="none"/>
          </c:marker>
          <c:cat>
            <c:numRef>
              <c:f>Snapshot!$AJ$6:$AJ$36</c:f>
              <c:numCache>
                <c:formatCode>m/d/yyyy</c:formatCode>
                <c:ptCount val="31"/>
                <c:pt idx="0">
                  <c:v>36526</c:v>
                </c:pt>
                <c:pt idx="1">
                  <c:v>36527</c:v>
                </c:pt>
                <c:pt idx="2">
                  <c:v>36528</c:v>
                </c:pt>
                <c:pt idx="3">
                  <c:v>36529</c:v>
                </c:pt>
                <c:pt idx="4">
                  <c:v>36530</c:v>
                </c:pt>
                <c:pt idx="5">
                  <c:v>36531</c:v>
                </c:pt>
                <c:pt idx="6">
                  <c:v>36532</c:v>
                </c:pt>
                <c:pt idx="7">
                  <c:v>36533</c:v>
                </c:pt>
                <c:pt idx="8">
                  <c:v>36534</c:v>
                </c:pt>
                <c:pt idx="9">
                  <c:v>36535</c:v>
                </c:pt>
                <c:pt idx="10">
                  <c:v>36536</c:v>
                </c:pt>
                <c:pt idx="11">
                  <c:v>36537</c:v>
                </c:pt>
                <c:pt idx="12">
                  <c:v>36538</c:v>
                </c:pt>
                <c:pt idx="13">
                  <c:v>36539</c:v>
                </c:pt>
                <c:pt idx="14">
                  <c:v>36540</c:v>
                </c:pt>
                <c:pt idx="15">
                  <c:v>36541</c:v>
                </c:pt>
                <c:pt idx="16">
                  <c:v>36542</c:v>
                </c:pt>
                <c:pt idx="17">
                  <c:v>36543</c:v>
                </c:pt>
                <c:pt idx="18">
                  <c:v>36544</c:v>
                </c:pt>
                <c:pt idx="19">
                  <c:v>36545</c:v>
                </c:pt>
                <c:pt idx="20">
                  <c:v>36546</c:v>
                </c:pt>
                <c:pt idx="21">
                  <c:v>36547</c:v>
                </c:pt>
                <c:pt idx="22">
                  <c:v>36548</c:v>
                </c:pt>
                <c:pt idx="23">
                  <c:v>36549</c:v>
                </c:pt>
                <c:pt idx="24">
                  <c:v>36550</c:v>
                </c:pt>
                <c:pt idx="25">
                  <c:v>36551</c:v>
                </c:pt>
                <c:pt idx="26">
                  <c:v>36552</c:v>
                </c:pt>
                <c:pt idx="27">
                  <c:v>36553</c:v>
                </c:pt>
                <c:pt idx="28">
                  <c:v>36554</c:v>
                </c:pt>
                <c:pt idx="29">
                  <c:v>36555</c:v>
                </c:pt>
                <c:pt idx="30">
                  <c:v>36556</c:v>
                </c:pt>
              </c:numCache>
            </c:numRef>
          </c:cat>
          <c:val>
            <c:numRef>
              <c:f>Snapshot!$AM$6:$AM$36</c:f>
              <c:numCache>
                <c:formatCode>"$"#,##0_);[Red]\("$"#,##0\)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0-FD8B-4D69-8A8E-9D43558EF6A5}"/>
            </c:ext>
          </c:extLst>
        </c:ser>
        <c:ser>
          <c:idx val="1"/>
          <c:order val="1"/>
          <c:tx>
            <c:strRef>
              <c:f>Snapshot!$AQ$4</c:f>
              <c:strCache>
                <c:ptCount val="1"/>
                <c:pt idx="0">
                  <c:v>#N/A</c:v>
                </c:pt>
              </c:strCache>
            </c:strRef>
          </c:tx>
          <c:spPr>
            <a:ln w="28575" cap="rnd">
              <a:solidFill>
                <a:srgbClr val="96A6AA"/>
              </a:solidFill>
              <a:prstDash val="sysDash"/>
              <a:round/>
            </a:ln>
            <a:effectLst/>
          </c:spPr>
          <c:marker>
            <c:symbol val="none"/>
          </c:marker>
          <c:cat>
            <c:numRef>
              <c:f>Snapshot!$AJ$6:$AJ$36</c:f>
              <c:numCache>
                <c:formatCode>m/d/yyyy</c:formatCode>
                <c:ptCount val="31"/>
                <c:pt idx="0">
                  <c:v>36526</c:v>
                </c:pt>
                <c:pt idx="1">
                  <c:v>36527</c:v>
                </c:pt>
                <c:pt idx="2">
                  <c:v>36528</c:v>
                </c:pt>
                <c:pt idx="3">
                  <c:v>36529</c:v>
                </c:pt>
                <c:pt idx="4">
                  <c:v>36530</c:v>
                </c:pt>
                <c:pt idx="5">
                  <c:v>36531</c:v>
                </c:pt>
                <c:pt idx="6">
                  <c:v>36532</c:v>
                </c:pt>
                <c:pt idx="7">
                  <c:v>36533</c:v>
                </c:pt>
                <c:pt idx="8">
                  <c:v>36534</c:v>
                </c:pt>
                <c:pt idx="9">
                  <c:v>36535</c:v>
                </c:pt>
                <c:pt idx="10">
                  <c:v>36536</c:v>
                </c:pt>
                <c:pt idx="11">
                  <c:v>36537</c:v>
                </c:pt>
                <c:pt idx="12">
                  <c:v>36538</c:v>
                </c:pt>
                <c:pt idx="13">
                  <c:v>36539</c:v>
                </c:pt>
                <c:pt idx="14">
                  <c:v>36540</c:v>
                </c:pt>
                <c:pt idx="15">
                  <c:v>36541</c:v>
                </c:pt>
                <c:pt idx="16">
                  <c:v>36542</c:v>
                </c:pt>
                <c:pt idx="17">
                  <c:v>36543</c:v>
                </c:pt>
                <c:pt idx="18">
                  <c:v>36544</c:v>
                </c:pt>
                <c:pt idx="19">
                  <c:v>36545</c:v>
                </c:pt>
                <c:pt idx="20">
                  <c:v>36546</c:v>
                </c:pt>
                <c:pt idx="21">
                  <c:v>36547</c:v>
                </c:pt>
                <c:pt idx="22">
                  <c:v>36548</c:v>
                </c:pt>
                <c:pt idx="23">
                  <c:v>36549</c:v>
                </c:pt>
                <c:pt idx="24">
                  <c:v>36550</c:v>
                </c:pt>
                <c:pt idx="25">
                  <c:v>36551</c:v>
                </c:pt>
                <c:pt idx="26">
                  <c:v>36552</c:v>
                </c:pt>
                <c:pt idx="27">
                  <c:v>36553</c:v>
                </c:pt>
                <c:pt idx="28">
                  <c:v>36554</c:v>
                </c:pt>
                <c:pt idx="29">
                  <c:v>36555</c:v>
                </c:pt>
                <c:pt idx="30">
                  <c:v>36556</c:v>
                </c:pt>
              </c:numCache>
            </c:numRef>
          </c:cat>
          <c:val>
            <c:numRef>
              <c:f>Snapshot!$AQ$6:$AQ$36</c:f>
              <c:numCache>
                <c:formatCode>"$"#,##0_);[Red]\("$"#,##0\)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1-FD8B-4D69-8A8E-9D43558EF6A5}"/>
            </c:ext>
          </c:extLst>
        </c:ser>
        <c:ser>
          <c:idx val="2"/>
          <c:order val="2"/>
          <c:tx>
            <c:v>PrevMonthMax</c:v>
          </c:tx>
          <c:spPr>
            <a:ln w="28575" cap="rnd">
              <a:noFill/>
              <a:round/>
            </a:ln>
            <a:effectLst/>
          </c:spPr>
          <c:marker>
            <c:symbol val="circle"/>
            <c:size val="6"/>
            <c:spPr>
              <a:solidFill>
                <a:srgbClr val="96A6AA"/>
              </a:solidFill>
              <a:ln w="9525">
                <a:noFill/>
              </a:ln>
              <a:effectLst/>
            </c:spPr>
          </c:marker>
          <c:dPt>
            <c:idx val="30"/>
            <c:marker>
              <c:symbol val="circle"/>
              <c:size val="6"/>
              <c:spPr>
                <a:solidFill>
                  <a:srgbClr val="96A6AA"/>
                </a:solidFill>
                <a:ln w="9525">
                  <a:noFill/>
                </a:ln>
                <a:effectLst/>
              </c:spPr>
            </c:marker>
            <c:bubble3D val="0"/>
            <c:extLst>
              <c:ext xmlns:c16="http://schemas.microsoft.com/office/drawing/2014/chart" uri="{C3380CC4-5D6E-409C-BE32-E72D297353CC}">
                <c16:uniqueId val="{00000001-DA5A-48F8-A1C0-21994C26477C}"/>
              </c:ext>
            </c:extLst>
          </c:dPt>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Snapshot!$AR$6:$AR$36</c:f>
              <c:numCache>
                <c:formatCode>"$"#,##0_);[Red]\("$"#,##0\)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0-CE85-4A3C-8799-07EFC094EA01}"/>
            </c:ext>
          </c:extLst>
        </c:ser>
        <c:ser>
          <c:idx val="3"/>
          <c:order val="3"/>
          <c:tx>
            <c:v>CurrentMonthMax</c:v>
          </c:tx>
          <c:spPr>
            <a:ln w="28575" cap="rnd">
              <a:noFill/>
              <a:round/>
            </a:ln>
            <a:effectLst/>
          </c:spPr>
          <c:marker>
            <c:symbol val="circle"/>
            <c:size val="6"/>
            <c:spPr>
              <a:solidFill>
                <a:srgbClr val="3078CD"/>
              </a:solidFill>
              <a:ln w="9525">
                <a:noFill/>
              </a:ln>
              <a:effectLst/>
            </c:spPr>
          </c:marker>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Arial" panose="020B060402020202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Snapshot!$AN$6:$AN$36</c:f>
              <c:numCache>
                <c:formatCode>"$"#,##0_);[Red]\("$"#,##0\)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extLst>
            <c:ext xmlns:c16="http://schemas.microsoft.com/office/drawing/2014/chart" uri="{C3380CC4-5D6E-409C-BE32-E72D297353CC}">
              <c16:uniqueId val="{00000001-CE85-4A3C-8799-07EFC094EA01}"/>
            </c:ext>
          </c:extLst>
        </c:ser>
        <c:dLbls>
          <c:showLegendKey val="0"/>
          <c:showVal val="0"/>
          <c:showCatName val="0"/>
          <c:showSerName val="0"/>
          <c:showPercent val="0"/>
          <c:showBubbleSize val="0"/>
        </c:dLbls>
        <c:smooth val="0"/>
        <c:axId val="990276639"/>
        <c:axId val="850507775"/>
      </c:lineChart>
      <c:dateAx>
        <c:axId val="990276639"/>
        <c:scaling>
          <c:orientation val="minMax"/>
        </c:scaling>
        <c:delete val="0"/>
        <c:axPos val="b"/>
        <c:numFmt formatCode="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850507775"/>
        <c:crosses val="autoZero"/>
        <c:auto val="0"/>
        <c:lblOffset val="100"/>
        <c:baseTimeUnit val="days"/>
        <c:majorUnit val="2"/>
        <c:majorTimeUnit val="days"/>
      </c:dateAx>
      <c:valAx>
        <c:axId val="850507775"/>
        <c:scaling>
          <c:orientation val="minMax"/>
        </c:scaling>
        <c:delete val="0"/>
        <c:axPos val="l"/>
        <c:majorGridlines>
          <c:spPr>
            <a:ln w="9525" cap="flat" cmpd="sng" algn="ctr">
              <a:solidFill>
                <a:schemeClr val="bg1">
                  <a:lumMod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990276639"/>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noFill/>
      <a:round/>
    </a:ln>
    <a:effectLst/>
  </c:spPr>
  <c:txPr>
    <a:bodyPr/>
    <a:lstStyle/>
    <a:p>
      <a:pPr>
        <a:defRPr>
          <a:latin typeface="+mn-lt"/>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177800</xdr:colOff>
      <xdr:row>144</xdr:row>
      <xdr:rowOff>29074</xdr:rowOff>
    </xdr:to>
    <xdr:pic>
      <xdr:nvPicPr>
        <xdr:cNvPr id="6" name="Picture 5">
          <a:extLst>
            <a:ext uri="{FF2B5EF4-FFF2-40B4-BE49-F238E27FC236}">
              <a16:creationId xmlns:a16="http://schemas.microsoft.com/office/drawing/2014/main" id="{3826A06D-C127-D040-A6CF-2BBC922D2E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687800" cy="272705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177800</xdr:colOff>
      <xdr:row>180</xdr:row>
      <xdr:rowOff>95200</xdr:rowOff>
    </xdr:to>
    <xdr:pic>
      <xdr:nvPicPr>
        <xdr:cNvPr id="4" name="Picture 3">
          <a:extLst>
            <a:ext uri="{FF2B5EF4-FFF2-40B4-BE49-F238E27FC236}">
              <a16:creationId xmlns:a16="http://schemas.microsoft.com/office/drawing/2014/main" id="{C29484B1-3ACD-9B4B-A3F0-9625F20410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687800" cy="34194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8</xdr:row>
      <xdr:rowOff>84475</xdr:rowOff>
    </xdr:from>
    <xdr:to>
      <xdr:col>8</xdr:col>
      <xdr:colOff>800378</xdr:colOff>
      <xdr:row>21</xdr:row>
      <xdr:rowOff>67235</xdr:rowOff>
    </xdr:to>
    <xdr:graphicFrame macro="">
      <xdr:nvGraphicFramePr>
        <xdr:cNvPr id="2" name="Chart 1" descr="Monthly Income vs. Spending">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87674</xdr:colOff>
      <xdr:row>9</xdr:row>
      <xdr:rowOff>33337</xdr:rowOff>
    </xdr:from>
    <xdr:to>
      <xdr:col>15</xdr:col>
      <xdr:colOff>152399</xdr:colOff>
      <xdr:row>20</xdr:row>
      <xdr:rowOff>84335</xdr:rowOff>
    </xdr:to>
    <xdr:graphicFrame macro="">
      <xdr:nvGraphicFramePr>
        <xdr:cNvPr id="4" name="Chart 3" descr="Month's Top Spending Categories&#10;">
          <a:extLst>
            <a:ext uri="{FF2B5EF4-FFF2-40B4-BE49-F238E27FC236}">
              <a16:creationId xmlns:a16="http://schemas.microsoft.com/office/drawing/2014/main" id="{00000000-0008-0000-0000-000004000000}"/>
            </a:ext>
            <a:ext uri="{147F2762-F138-4A5C-976F-8EAC2B608ADB}">
              <a16:predDERef xmlns:a16="http://schemas.microsoft.com/office/drawing/2014/main" pred="{EA4B61A0-993A-412D-B4E8-1DCB15DF5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28</xdr:row>
      <xdr:rowOff>85723</xdr:rowOff>
    </xdr:from>
    <xdr:to>
      <xdr:col>19</xdr:col>
      <xdr:colOff>95250</xdr:colOff>
      <xdr:row>41</xdr:row>
      <xdr:rowOff>57149</xdr:rowOff>
    </xdr:to>
    <xdr:graphicFrame macro="">
      <xdr:nvGraphicFramePr>
        <xdr:cNvPr id="3" name="Chart 2" descr="Cumulative Spending Throughout Month">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0.37278</cdr:x>
      <cdr:y>0.38161</cdr:y>
    </cdr:from>
    <cdr:to>
      <cdr:x>0.63129</cdr:x>
      <cdr:y>0.57244</cdr:y>
    </cdr:to>
    <cdr:sp macro="" textlink="Snapshot!$AH$12">
      <cdr:nvSpPr>
        <cdr:cNvPr id="3" name="TextBox 2">
          <a:extLst xmlns:a="http://schemas.openxmlformats.org/drawingml/2006/main">
            <a:ext uri="{FF2B5EF4-FFF2-40B4-BE49-F238E27FC236}">
              <a16:creationId xmlns:a16="http://schemas.microsoft.com/office/drawing/2014/main" id="{65C1457A-F0F2-4C50-B24F-1B3F9811CE14}"/>
            </a:ext>
          </a:extLst>
        </cdr:cNvPr>
        <cdr:cNvSpPr txBox="1"/>
      </cdr:nvSpPr>
      <cdr:spPr>
        <a:xfrm xmlns:a="http://schemas.openxmlformats.org/drawingml/2006/main">
          <a:off x="947830" y="813749"/>
          <a:ext cx="657291" cy="40692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fld id="{69F04872-0FD4-4F54-9235-FD976F8554FF}" type="TxLink">
            <a:rPr lang="en-US" sz="1200" b="0" i="0" u="none" strike="noStrike">
              <a:solidFill>
                <a:schemeClr val="tx1">
                  <a:lumMod val="75000"/>
                  <a:lumOff val="25000"/>
                </a:schemeClr>
              </a:solidFill>
              <a:latin typeface="+mn-lt"/>
              <a:cs typeface="Arial" panose="020B0604020202020204" pitchFamily="34" charset="0"/>
            </a:rPr>
            <a:pPr algn="ctr"/>
            <a:t> $-   </a:t>
          </a:fld>
          <a:endParaRPr lang="en-US" sz="1200" b="0">
            <a:solidFill>
              <a:schemeClr val="tx1">
                <a:lumMod val="75000"/>
                <a:lumOff val="25000"/>
              </a:schemeClr>
            </a:solidFill>
            <a:latin typeface="+mn-lt"/>
            <a:cs typeface="Arial" panose="020B0604020202020204" pitchFamily="34" charset="0"/>
          </a:endParaRPr>
        </a:p>
      </cdr:txBody>
    </cdr:sp>
  </cdr:relSizeAnchor>
</c:userShape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CD3EA0-E4E7-414E-AED7-82FDC31C791D}" name="Table1" displayName="Table1" ref="B6:Q7" totalsRowShown="0" headerRowDxfId="25" dataDxfId="24">
  <autoFilter ref="B6:Q7" xr:uid="{1E93EEF5-853E-42BB-A4F2-89A98C13F990}"/>
  <sortState xmlns:xlrd2="http://schemas.microsoft.com/office/spreadsheetml/2017/richdata2" ref="B7:Q8">
    <sortCondition descending="1" ref="B6:B8"/>
  </sortState>
  <tableColumns count="16">
    <tableColumn id="1" xr3:uid="{EE6ED09F-F28E-459A-8607-99055584CDBE}" name="Date" dataDxfId="23"/>
    <tableColumn id="2" xr3:uid="{D76EC5B3-A626-48A8-A996-E3B80A2D3FA4}" name="Merchant" dataDxfId="22"/>
    <tableColumn id="3" xr3:uid="{4B7E9E3C-3E46-4B70-AE02-A4D7CF3853EC}" name="Category" dataDxfId="21"/>
    <tableColumn id="4" xr3:uid="{B5C0445C-239E-43A5-B227-C3C3F4255C9B}" name="Amount $" dataDxfId="20"/>
    <tableColumn id="5" xr3:uid="{D96AF5FB-B219-4E87-90E5-1F89CA4F1921}" name="Account" dataDxfId="19"/>
    <tableColumn id="6" xr3:uid="{4EDA5FD9-4393-4FEA-915F-33B320335813}" name="Account Number" dataDxfId="18"/>
    <tableColumn id="7" xr3:uid="{81BC73AB-869E-4F12-8D56-326E275BA234}" name="Institution" dataDxfId="17"/>
    <tableColumn id="14" xr3:uid="{20218ADD-5EE2-405E-AF73-890CF1361427}" name="Transaction_ID" dataDxfId="16"/>
    <tableColumn id="13" xr3:uid="{0C9D6E6C-7960-412E-A0B8-9C48ADB8BF9E}" name="Account_ID" dataDxfId="15"/>
    <tableColumn id="15" xr3:uid="{4C8D2200-E378-40E0-9425-67E53F82CCE4}" name="Institution_ID" dataDxfId="14"/>
    <tableColumn id="16" xr3:uid="{6F75B681-920E-42D4-965A-992DD52CE145}" name="Category Type" dataDxfId="13">
      <calculatedColumnFormula array="1">IFERROR(INDEX(Table2[Category Type],MATCH(Table1[[#This Row],[Category]],Table2[Category Name],0),0),"")</calculatedColumnFormula>
    </tableColumn>
    <tableColumn id="8" xr3:uid="{E89A31A0-3B8F-415C-A20F-F7D6E65F3692}" name="Date_Day" dataDxfId="12">
      <calculatedColumnFormula>DAY(Table1[[#This Row],[Date]])</calculatedColumnFormula>
    </tableColumn>
    <tableColumn id="9" xr3:uid="{5E9632CC-9B9D-4C42-A498-0EB7B2A784B4}" name="Date_Month" dataDxfId="11">
      <calculatedColumnFormula>MONTH(Table1[[#This Row],[Date]])</calculatedColumnFormula>
    </tableColumn>
    <tableColumn id="10" xr3:uid="{97D39170-DF53-42AA-8F04-83FB5831E028}" name="Date_Year" dataDxfId="10">
      <calculatedColumnFormula>YEAR(Table1[[#This Row],[Date]])</calculatedColumnFormula>
    </tableColumn>
    <tableColumn id="11" xr3:uid="{126135E5-55E0-4ADD-95EE-77FBF80CE9F9}" name="Beginning of Week" dataDxfId="9">
      <calculatedColumnFormula>IF(ISBLANK(Table1[[#This Row],[Date]]),"",Table1[[#This Row],[Date]]-WEEKDAY(Table1[[#This Row],[Date]],2)+1)</calculatedColumnFormula>
    </tableColumn>
    <tableColumn id="12" xr3:uid="{2AAEBDD8-703F-435B-AB5F-735EF64E5EA7}" name="Month" dataDxfId="8">
      <calculatedColumnFormula>IF(ISBLANK(Table1[[#This Row],[Date]]),"",DATE(Table1[[#This Row],[Date_Year]],Table1[[#This Row],[Date_Month]],1))</calculatedColumnFormula>
    </tableColumn>
  </tableColumns>
  <tableStyleInfo name="Mone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5ABC79-9C59-4E23-92A7-75F31BA5D235}" name="Table2" displayName="Table2" ref="C6:E44" totalsRowShown="0" headerRowDxfId="5" dataDxfId="4" tableBorderDxfId="3">
  <autoFilter ref="C6:E44" xr:uid="{E630DDAD-569F-40E5-B0AD-F309D146F27A}"/>
  <tableColumns count="3">
    <tableColumn id="1" xr3:uid="{A1F04B03-8670-4C22-8F71-51FEA2D87954}" name="Id" dataDxfId="2"/>
    <tableColumn id="5" xr3:uid="{04FE7142-476D-C746-BA4C-B7000645E008}" name="Category Name" dataDxfId="1"/>
    <tableColumn id="2" xr3:uid="{164B46D0-D949-4187-9448-0A4C615EBE4E}" name="Category Type" dataDxfId="0"/>
  </tableColumns>
  <tableStyleInfo name="Money"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588499-CA36-40D8-8ECA-1F3AB0185D4A}">
  <we:reference id="wa200001306" version="2.0.0.0" store="en-US" storeType="OMEX"/>
  <we:alternateReferences>
    <we:reference id="wa200001306" version="2.0.0.0" store="WA200001306" storeType="OMEX"/>
  </we:alternateReferences>
  <we:properties>
    <we:property name="Office.AutoShowTaskpaneWithDocument" value="true"/>
    <we:property name="templateVersion" value="&quot;2.0.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B663-79A8-A140-B6B8-821A5E6A15BD}">
  <dimension ref="A1:A30"/>
  <sheetViews>
    <sheetView showGridLines="0" showRowColHeaders="0" tabSelected="1" topLeftCell="A21" zoomScale="80" zoomScaleNormal="80" workbookViewId="0"/>
  </sheetViews>
  <sheetFormatPr defaultColWidth="10.81640625" defaultRowHeight="14.5" x14ac:dyDescent="0.35"/>
  <sheetData>
    <row r="1" spans="1:1" ht="2" hidden="1" customHeight="1" x14ac:dyDescent="0.35"/>
    <row r="2" spans="1:1" x14ac:dyDescent="0.35">
      <c r="A2" s="1" t="s">
        <v>0</v>
      </c>
    </row>
    <row r="3" spans="1:1" x14ac:dyDescent="0.35">
      <c r="A3" s="1" t="s">
        <v>1</v>
      </c>
    </row>
    <row r="4" spans="1:1" x14ac:dyDescent="0.35">
      <c r="A4" s="1" t="s">
        <v>2</v>
      </c>
    </row>
    <row r="5" spans="1:1" x14ac:dyDescent="0.35">
      <c r="A5" s="1" t="s">
        <v>3</v>
      </c>
    </row>
    <row r="6" spans="1:1" x14ac:dyDescent="0.35">
      <c r="A6" s="1" t="s">
        <v>4</v>
      </c>
    </row>
    <row r="7" spans="1:1" x14ac:dyDescent="0.35">
      <c r="A7" s="2" t="s">
        <v>5</v>
      </c>
    </row>
    <row r="8" spans="1:1" x14ac:dyDescent="0.35">
      <c r="A8" s="2"/>
    </row>
    <row r="9" spans="1:1" x14ac:dyDescent="0.35">
      <c r="A9" s="2" t="s">
        <v>6</v>
      </c>
    </row>
    <row r="10" spans="1:1" x14ac:dyDescent="0.35">
      <c r="A10" s="2" t="s">
        <v>7</v>
      </c>
    </row>
    <row r="11" spans="1:1" x14ac:dyDescent="0.35">
      <c r="A11" s="1" t="s">
        <v>8</v>
      </c>
    </row>
    <row r="12" spans="1:1" x14ac:dyDescent="0.35">
      <c r="A12" s="1"/>
    </row>
    <row r="13" spans="1:1" x14ac:dyDescent="0.35">
      <c r="A13" s="1" t="s">
        <v>9</v>
      </c>
    </row>
    <row r="14" spans="1:1" x14ac:dyDescent="0.35">
      <c r="A14" s="1" t="s">
        <v>10</v>
      </c>
    </row>
    <row r="15" spans="1:1" x14ac:dyDescent="0.35">
      <c r="A15" s="1" t="s">
        <v>11</v>
      </c>
    </row>
    <row r="16" spans="1:1" x14ac:dyDescent="0.35">
      <c r="A16" s="1"/>
    </row>
    <row r="17" spans="1:1" x14ac:dyDescent="0.35">
      <c r="A17" s="1" t="s">
        <v>12</v>
      </c>
    </row>
    <row r="18" spans="1:1" x14ac:dyDescent="0.35">
      <c r="A18" s="1" t="s">
        <v>13</v>
      </c>
    </row>
    <row r="19" spans="1:1" x14ac:dyDescent="0.35">
      <c r="A19" s="1" t="s">
        <v>11</v>
      </c>
    </row>
    <row r="20" spans="1:1" x14ac:dyDescent="0.35">
      <c r="A20" s="1"/>
    </row>
    <row r="21" spans="1:1" x14ac:dyDescent="0.35">
      <c r="A21" s="1" t="s">
        <v>14</v>
      </c>
    </row>
    <row r="22" spans="1:1" x14ac:dyDescent="0.35">
      <c r="A22" s="1"/>
    </row>
    <row r="23" spans="1:1" x14ac:dyDescent="0.35">
      <c r="A23" s="1"/>
    </row>
    <row r="24" spans="1:1" x14ac:dyDescent="0.35">
      <c r="A24" s="1"/>
    </row>
    <row r="25" spans="1:1" x14ac:dyDescent="0.35">
      <c r="A25" s="1"/>
    </row>
    <row r="26" spans="1:1" x14ac:dyDescent="0.35">
      <c r="A26" s="1"/>
    </row>
    <row r="27" spans="1:1" x14ac:dyDescent="0.35">
      <c r="A27" s="1"/>
    </row>
    <row r="28" spans="1:1" x14ac:dyDescent="0.35">
      <c r="A28" s="1"/>
    </row>
    <row r="29" spans="1:1" x14ac:dyDescent="0.35">
      <c r="A29" s="1"/>
    </row>
    <row r="30" spans="1:1" x14ac:dyDescent="0.35">
      <c r="A30" s="1"/>
    </row>
  </sheetData>
  <dataValidations count="1">
    <dataValidation allowBlank="1" showInputMessage="1" showErrorMessage="1" promptTitle="Welcome" prompt="Welcome to Money in Excel! Trust the add-in on the right side of the screen to begin adding accounts and automatically importing transactions." sqref="A2" xr:uid="{90FF3B32-DCD0-4776-9D4D-BEA3E18AE4C8}"/>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9E52-4F57-C545-BB35-C1F9752CCF9D}">
  <dimension ref="A1:F47"/>
  <sheetViews>
    <sheetView showGridLines="0" showRowColHeaders="0" topLeftCell="A2" zoomScale="80" zoomScaleNormal="80" workbookViewId="0">
      <selection activeCell="A2" sqref="A2"/>
    </sheetView>
  </sheetViews>
  <sheetFormatPr defaultColWidth="10.81640625" defaultRowHeight="14.5" x14ac:dyDescent="0.35"/>
  <cols>
    <col min="1" max="4" width="10.81640625" style="48"/>
  </cols>
  <sheetData>
    <row r="1" spans="1:6" ht="2" hidden="1" customHeight="1" x14ac:dyDescent="0.35"/>
    <row r="2" spans="1:6" x14ac:dyDescent="0.35">
      <c r="A2" s="1" t="s">
        <v>15</v>
      </c>
      <c r="B2" s="1"/>
      <c r="C2" s="1"/>
      <c r="D2" s="1"/>
      <c r="E2" s="1"/>
      <c r="F2" s="1"/>
    </row>
    <row r="3" spans="1:6" x14ac:dyDescent="0.35">
      <c r="A3" s="1" t="s">
        <v>16</v>
      </c>
      <c r="B3" s="1"/>
      <c r="C3" s="1"/>
      <c r="D3" s="1"/>
      <c r="E3" s="1"/>
      <c r="F3" s="1"/>
    </row>
    <row r="4" spans="1:6" x14ac:dyDescent="0.35">
      <c r="A4" s="1" t="s">
        <v>8</v>
      </c>
      <c r="B4" s="1"/>
      <c r="C4" s="1"/>
      <c r="D4" s="1"/>
      <c r="E4" s="1"/>
      <c r="F4" s="1"/>
    </row>
    <row r="5" spans="1:6" x14ac:dyDescent="0.35">
      <c r="A5" s="1"/>
      <c r="B5" s="1"/>
      <c r="C5" s="1"/>
      <c r="D5" s="1"/>
      <c r="E5" s="1"/>
      <c r="F5" s="1"/>
    </row>
    <row r="6" spans="1:6" x14ac:dyDescent="0.35">
      <c r="A6" s="1" t="s">
        <v>17</v>
      </c>
      <c r="B6" s="1"/>
      <c r="C6" s="1"/>
      <c r="D6" s="1"/>
      <c r="E6" s="1"/>
      <c r="F6" s="1"/>
    </row>
    <row r="7" spans="1:6" x14ac:dyDescent="0.35">
      <c r="A7" s="1">
        <v>1</v>
      </c>
      <c r="B7" s="1" t="s">
        <v>112</v>
      </c>
      <c r="C7" s="1"/>
      <c r="D7" s="1"/>
      <c r="E7" s="1"/>
      <c r="F7" s="1"/>
    </row>
    <row r="8" spans="1:6" x14ac:dyDescent="0.35">
      <c r="A8" s="1">
        <v>2</v>
      </c>
      <c r="B8" s="1" t="s">
        <v>18</v>
      </c>
      <c r="C8" s="1"/>
      <c r="D8" s="1"/>
      <c r="E8" s="1"/>
      <c r="F8" s="1"/>
    </row>
    <row r="9" spans="1:6" x14ac:dyDescent="0.35">
      <c r="A9" s="1">
        <v>3</v>
      </c>
      <c r="B9" s="1" t="s">
        <v>19</v>
      </c>
      <c r="C9" s="1"/>
      <c r="D9" s="1"/>
      <c r="E9" s="1"/>
      <c r="F9" s="1"/>
    </row>
    <row r="10" spans="1:6" x14ac:dyDescent="0.35">
      <c r="A10" s="1">
        <v>4</v>
      </c>
      <c r="B10" s="1" t="s">
        <v>20</v>
      </c>
      <c r="C10" s="1"/>
      <c r="D10" s="1"/>
      <c r="E10" s="1"/>
      <c r="F10" s="1"/>
    </row>
    <row r="11" spans="1:6" x14ac:dyDescent="0.35">
      <c r="A11" s="1">
        <v>5</v>
      </c>
      <c r="B11" s="1" t="s">
        <v>21</v>
      </c>
      <c r="C11" s="1"/>
      <c r="D11" s="1"/>
      <c r="E11" s="1"/>
      <c r="F11" s="1"/>
    </row>
    <row r="12" spans="1:6" x14ac:dyDescent="0.35">
      <c r="A12" s="1">
        <v>6</v>
      </c>
      <c r="B12" s="1" t="s">
        <v>22</v>
      </c>
      <c r="C12" s="1"/>
      <c r="D12" s="1"/>
      <c r="E12" s="1"/>
      <c r="F12" s="1"/>
    </row>
    <row r="13" spans="1:6" x14ac:dyDescent="0.35">
      <c r="A13" s="1" t="s">
        <v>23</v>
      </c>
      <c r="B13" s="1"/>
      <c r="C13" s="1"/>
      <c r="D13" s="1"/>
      <c r="E13" s="1"/>
      <c r="F13" s="1"/>
    </row>
    <row r="14" spans="1:6" x14ac:dyDescent="0.35">
      <c r="A14" s="1" t="s">
        <v>11</v>
      </c>
      <c r="B14" s="1"/>
      <c r="C14" s="1"/>
      <c r="D14" s="1"/>
      <c r="E14" s="1"/>
      <c r="F14" s="1"/>
    </row>
    <row r="15" spans="1:6" x14ac:dyDescent="0.35">
      <c r="A15" s="1"/>
      <c r="B15" s="1"/>
      <c r="C15" s="1"/>
      <c r="D15" s="1"/>
      <c r="E15" s="1"/>
      <c r="F15" s="1"/>
    </row>
    <row r="16" spans="1:6" x14ac:dyDescent="0.35">
      <c r="A16" s="1" t="s">
        <v>6</v>
      </c>
      <c r="B16" s="1"/>
      <c r="C16" s="1"/>
      <c r="D16" s="1"/>
      <c r="E16" s="1"/>
      <c r="F16" s="1"/>
    </row>
    <row r="17" spans="1:6" x14ac:dyDescent="0.35">
      <c r="A17" s="1" t="s">
        <v>7</v>
      </c>
      <c r="B17" s="1"/>
      <c r="C17" s="1"/>
      <c r="D17" s="1"/>
      <c r="E17" s="1"/>
      <c r="F17" s="1"/>
    </row>
    <row r="18" spans="1:6" x14ac:dyDescent="0.35">
      <c r="A18" s="1"/>
      <c r="B18" s="1"/>
      <c r="C18" s="1"/>
      <c r="D18" s="1"/>
      <c r="E18" s="1"/>
      <c r="F18" s="1"/>
    </row>
    <row r="19" spans="1:6" x14ac:dyDescent="0.35">
      <c r="A19" s="1" t="s">
        <v>24</v>
      </c>
      <c r="B19" s="1"/>
      <c r="C19" s="1"/>
      <c r="D19" s="1"/>
      <c r="E19" s="1"/>
      <c r="F19" s="1"/>
    </row>
    <row r="20" spans="1:6" x14ac:dyDescent="0.35">
      <c r="A20" s="1">
        <v>1</v>
      </c>
      <c r="B20" s="1" t="s">
        <v>25</v>
      </c>
      <c r="C20" s="1"/>
      <c r="D20" s="1"/>
      <c r="E20" s="1"/>
      <c r="F20" s="1"/>
    </row>
    <row r="21" spans="1:6" x14ac:dyDescent="0.35">
      <c r="A21" s="1">
        <v>2</v>
      </c>
      <c r="B21" s="1" t="s">
        <v>26</v>
      </c>
      <c r="C21" s="1"/>
      <c r="D21" s="1"/>
      <c r="E21" s="1"/>
      <c r="F21" s="1"/>
    </row>
    <row r="22" spans="1:6" x14ac:dyDescent="0.35">
      <c r="A22" s="1">
        <v>3</v>
      </c>
      <c r="B22" s="1" t="s">
        <v>27</v>
      </c>
      <c r="C22" s="1"/>
      <c r="D22" s="1"/>
      <c r="E22" s="1"/>
      <c r="F22" s="1"/>
    </row>
    <row r="23" spans="1:6" x14ac:dyDescent="0.35">
      <c r="A23" s="1">
        <v>4</v>
      </c>
      <c r="B23" s="1" t="s">
        <v>28</v>
      </c>
      <c r="C23" s="1"/>
      <c r="D23" s="1"/>
      <c r="E23" s="1"/>
      <c r="F23" s="1"/>
    </row>
    <row r="24" spans="1:6" x14ac:dyDescent="0.35">
      <c r="A24" s="1" t="s">
        <v>29</v>
      </c>
      <c r="B24" s="1"/>
      <c r="C24" s="1"/>
      <c r="D24" s="1"/>
      <c r="E24" s="1"/>
      <c r="F24" s="1"/>
    </row>
    <row r="25" spans="1:6" x14ac:dyDescent="0.35">
      <c r="A25" s="1" t="s">
        <v>11</v>
      </c>
      <c r="B25" s="1"/>
      <c r="C25" s="1"/>
      <c r="D25" s="1"/>
      <c r="E25" s="1"/>
      <c r="F25" s="1"/>
    </row>
    <row r="26" spans="1:6" x14ac:dyDescent="0.35">
      <c r="A26" s="1"/>
      <c r="B26" s="1"/>
      <c r="C26" s="1"/>
      <c r="D26" s="1"/>
      <c r="E26" s="1"/>
      <c r="F26" s="1"/>
    </row>
    <row r="27" spans="1:6" x14ac:dyDescent="0.35">
      <c r="A27" s="1" t="s">
        <v>117</v>
      </c>
      <c r="B27" s="1"/>
      <c r="C27" s="1"/>
      <c r="D27" s="1"/>
      <c r="E27" s="1"/>
      <c r="F27" s="1"/>
    </row>
    <row r="28" spans="1:6" x14ac:dyDescent="0.35">
      <c r="A28" s="1">
        <v>1</v>
      </c>
      <c r="B28" s="1" t="s">
        <v>113</v>
      </c>
      <c r="C28" s="1"/>
      <c r="D28" s="1"/>
      <c r="E28" s="1"/>
      <c r="F28" s="1"/>
    </row>
    <row r="29" spans="1:6" x14ac:dyDescent="0.35">
      <c r="A29" s="1">
        <v>2</v>
      </c>
      <c r="B29" s="1" t="s">
        <v>114</v>
      </c>
      <c r="C29" s="1"/>
      <c r="D29" s="1"/>
      <c r="E29" s="1"/>
      <c r="F29" s="1"/>
    </row>
    <row r="30" spans="1:6" x14ac:dyDescent="0.35">
      <c r="A30" s="1">
        <v>3</v>
      </c>
      <c r="B30" s="1" t="s">
        <v>115</v>
      </c>
      <c r="C30" s="1"/>
      <c r="D30" s="1"/>
      <c r="E30" s="1"/>
      <c r="F30" s="1"/>
    </row>
    <row r="31" spans="1:6" x14ac:dyDescent="0.35">
      <c r="A31" s="1" t="s">
        <v>11</v>
      </c>
      <c r="B31" s="1"/>
      <c r="C31" s="1"/>
      <c r="D31" s="1"/>
      <c r="E31" s="1"/>
      <c r="F31" s="1"/>
    </row>
    <row r="32" spans="1:6" x14ac:dyDescent="0.35">
      <c r="A32" s="1"/>
      <c r="B32" s="1"/>
      <c r="C32" s="1"/>
      <c r="D32" s="1"/>
      <c r="E32" s="1"/>
      <c r="F32" s="1"/>
    </row>
    <row r="33" spans="1:6" x14ac:dyDescent="0.35">
      <c r="A33" s="1" t="s">
        <v>30</v>
      </c>
      <c r="B33" s="1"/>
      <c r="C33" s="1"/>
      <c r="D33" s="1"/>
      <c r="E33" s="1"/>
      <c r="F33" s="1"/>
    </row>
    <row r="34" spans="1:6" x14ac:dyDescent="0.35">
      <c r="A34" s="1">
        <v>1</v>
      </c>
      <c r="B34" s="1" t="s">
        <v>116</v>
      </c>
      <c r="C34" s="1"/>
      <c r="D34" s="1"/>
      <c r="E34" s="1"/>
      <c r="F34" s="1"/>
    </row>
    <row r="35" spans="1:6" x14ac:dyDescent="0.35">
      <c r="A35" s="1">
        <v>2</v>
      </c>
      <c r="B35" s="1" t="s">
        <v>31</v>
      </c>
      <c r="C35" s="1"/>
      <c r="D35" s="1"/>
      <c r="E35" s="1"/>
      <c r="F35" s="1"/>
    </row>
    <row r="36" spans="1:6" x14ac:dyDescent="0.35">
      <c r="A36" s="1">
        <v>3</v>
      </c>
      <c r="B36" s="1" t="s">
        <v>32</v>
      </c>
      <c r="C36" s="1"/>
      <c r="D36" s="1"/>
      <c r="E36" s="1"/>
      <c r="F36" s="1"/>
    </row>
    <row r="37" spans="1:6" x14ac:dyDescent="0.35">
      <c r="A37" s="1" t="s">
        <v>11</v>
      </c>
      <c r="B37" s="1"/>
      <c r="C37" s="1"/>
      <c r="D37" s="1"/>
      <c r="E37" s="1"/>
      <c r="F37" s="1"/>
    </row>
    <row r="38" spans="1:6" x14ac:dyDescent="0.35">
      <c r="A38" s="1"/>
      <c r="B38" s="1"/>
      <c r="C38" s="1"/>
      <c r="D38" s="1"/>
      <c r="E38" s="1"/>
      <c r="F38" s="1"/>
    </row>
    <row r="39" spans="1:6" x14ac:dyDescent="0.35">
      <c r="A39" s="1" t="s">
        <v>33</v>
      </c>
      <c r="B39" s="1"/>
      <c r="C39" s="1"/>
      <c r="D39" s="1"/>
      <c r="E39" s="1"/>
      <c r="F39" s="1"/>
    </row>
    <row r="40" spans="1:6" x14ac:dyDescent="0.35">
      <c r="A40" s="1">
        <v>1</v>
      </c>
      <c r="B40" s="1" t="s">
        <v>34</v>
      </c>
      <c r="C40" s="1"/>
      <c r="D40" s="1"/>
      <c r="E40" s="1"/>
      <c r="F40" s="1"/>
    </row>
    <row r="41" spans="1:6" x14ac:dyDescent="0.35">
      <c r="A41" s="1">
        <v>2</v>
      </c>
      <c r="B41" s="1" t="s">
        <v>35</v>
      </c>
      <c r="C41" s="1"/>
      <c r="D41" s="1"/>
      <c r="E41" s="1"/>
      <c r="F41" s="1"/>
    </row>
    <row r="42" spans="1:6" x14ac:dyDescent="0.35">
      <c r="A42" s="1">
        <v>3</v>
      </c>
      <c r="B42" s="1" t="s">
        <v>36</v>
      </c>
      <c r="C42" s="1"/>
      <c r="D42" s="1"/>
      <c r="E42" s="1"/>
      <c r="F42" s="1"/>
    </row>
    <row r="43" spans="1:6" x14ac:dyDescent="0.35">
      <c r="A43" s="1">
        <v>4</v>
      </c>
      <c r="B43" s="1" t="s">
        <v>37</v>
      </c>
      <c r="C43" s="1"/>
      <c r="D43" s="1"/>
      <c r="E43" s="1"/>
      <c r="F43" s="1"/>
    </row>
    <row r="44" spans="1:6" x14ac:dyDescent="0.35">
      <c r="A44" s="1"/>
      <c r="B44" s="1"/>
      <c r="C44" s="1"/>
      <c r="D44" s="1"/>
      <c r="E44" s="1"/>
      <c r="F44" s="1"/>
    </row>
    <row r="45" spans="1:6" x14ac:dyDescent="0.35">
      <c r="A45" s="1"/>
      <c r="B45" s="1"/>
      <c r="C45" s="1"/>
      <c r="D45" s="1"/>
      <c r="E45" s="1"/>
      <c r="F45" s="1"/>
    </row>
    <row r="46" spans="1:6" x14ac:dyDescent="0.35">
      <c r="A46" s="1"/>
      <c r="B46" s="1"/>
      <c r="C46" s="1"/>
      <c r="D46" s="1"/>
      <c r="E46" s="1"/>
      <c r="F46" s="1"/>
    </row>
    <row r="47" spans="1:6" x14ac:dyDescent="0.35">
      <c r="A47" s="1"/>
      <c r="B47" s="1"/>
      <c r="C47" s="1"/>
      <c r="D47" s="1"/>
      <c r="E47" s="1"/>
      <c r="F47" s="1"/>
    </row>
  </sheetData>
  <dataValidations count="1">
    <dataValidation allowBlank="1" showInputMessage="1" showErrorMessage="1" promptTitle="Instructions" prompt="Learn how to use Money in Excel." sqref="A2" xr:uid="{76C54FD8-9B44-4747-8357-01E7118C6398}"/>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71E34-955C-4F80-B554-59820120072A}">
  <dimension ref="A1:AY200"/>
  <sheetViews>
    <sheetView showGridLines="0" zoomScaleNormal="100" workbookViewId="0">
      <pane ySplit="5" topLeftCell="A6" activePane="bottomLeft" state="frozen"/>
      <selection pane="bottomLeft"/>
    </sheetView>
  </sheetViews>
  <sheetFormatPr defaultColWidth="11.36328125" defaultRowHeight="14.5" outlineLevelCol="1" x14ac:dyDescent="0.35"/>
  <cols>
    <col min="1" max="1" width="1.36328125" style="15" customWidth="1"/>
    <col min="2" max="2" width="2.81640625" style="15" hidden="1" customWidth="1" outlineLevel="1"/>
    <col min="3" max="3" width="1.453125" style="15" customWidth="1" collapsed="1"/>
    <col min="4" max="4" width="11.36328125" style="15" customWidth="1"/>
    <col min="5" max="6" width="11.36328125" style="15"/>
    <col min="7" max="7" width="11.36328125" style="15" bestFit="1" customWidth="1"/>
    <col min="8" max="8" width="11.36328125" style="15"/>
    <col min="9" max="9" width="10.36328125" style="15" customWidth="1"/>
    <col min="10" max="10" width="1.453125" style="15" customWidth="1"/>
    <col min="11" max="11" width="2.453125" style="15" customWidth="1"/>
    <col min="12" max="12" width="1.453125" style="15" customWidth="1"/>
    <col min="13" max="14" width="11.36328125" style="15"/>
    <col min="15" max="15" width="8.36328125" style="15" customWidth="1"/>
    <col min="16" max="16" width="3.453125" style="15" customWidth="1"/>
    <col min="17" max="17" width="11.453125" style="15" customWidth="1"/>
    <col min="18" max="18" width="11.36328125" style="15"/>
    <col min="19" max="19" width="10.36328125" style="15" customWidth="1"/>
    <col min="20" max="20" width="2.36328125" style="15" customWidth="1"/>
    <col min="21" max="21" width="11.36328125" style="15" customWidth="1"/>
    <col min="22" max="22" width="12.36328125" style="15" hidden="1" customWidth="1" outlineLevel="1"/>
    <col min="23" max="23" width="14.453125" style="15" hidden="1" customWidth="1" outlineLevel="1"/>
    <col min="24" max="24" width="1.453125" style="16" hidden="1" customWidth="1" outlineLevel="1"/>
    <col min="25" max="27" width="11.36328125" style="15" hidden="1" customWidth="1" outlineLevel="1"/>
    <col min="28" max="28" width="1.453125" style="16" hidden="1" customWidth="1" outlineLevel="1"/>
    <col min="29" max="34" width="11.36328125" style="15" hidden="1" customWidth="1" outlineLevel="1"/>
    <col min="35" max="35" width="1.453125" style="15" hidden="1" customWidth="1" outlineLevel="1"/>
    <col min="36" max="36" width="10" style="15" hidden="1" customWidth="1" outlineLevel="1"/>
    <col min="37" max="44" width="11.36328125" style="15" hidden="1" customWidth="1" outlineLevel="1"/>
    <col min="45" max="45" width="1.453125" style="15" hidden="1" customWidth="1" outlineLevel="1"/>
    <col min="46" max="50" width="11.36328125" style="15" hidden="1" customWidth="1" outlineLevel="1"/>
    <col min="51" max="51" width="11.36328125" style="15" collapsed="1"/>
    <col min="52" max="16384" width="11.36328125" style="15"/>
  </cols>
  <sheetData>
    <row r="1" spans="1:50" s="7" customFormat="1" ht="5" customHeight="1" x14ac:dyDescent="0.35">
      <c r="A1" s="3"/>
      <c r="B1" s="4"/>
      <c r="C1" s="5"/>
      <c r="D1" s="5"/>
      <c r="E1" s="5"/>
      <c r="F1" s="5"/>
      <c r="G1" s="5"/>
      <c r="H1" s="5"/>
      <c r="I1" s="5"/>
      <c r="J1" s="5"/>
      <c r="K1" s="5"/>
      <c r="L1" s="5"/>
      <c r="M1" s="5"/>
      <c r="N1" s="5"/>
      <c r="O1" s="5"/>
      <c r="P1" s="5"/>
      <c r="Q1" s="5"/>
      <c r="R1" s="5"/>
      <c r="S1" s="5"/>
      <c r="T1" s="6"/>
      <c r="X1" s="8"/>
      <c r="AB1" s="8"/>
    </row>
    <row r="2" spans="1:50" ht="40.5" customHeight="1" x14ac:dyDescent="0.8">
      <c r="A2" s="9"/>
      <c r="B2" s="10"/>
      <c r="C2" s="148" t="s">
        <v>38</v>
      </c>
      <c r="D2" s="149"/>
      <c r="E2" s="149"/>
      <c r="F2" s="149"/>
      <c r="G2" s="149"/>
      <c r="H2" s="149"/>
      <c r="I2" s="149"/>
      <c r="J2" s="149"/>
      <c r="K2" s="149"/>
      <c r="L2" s="149"/>
      <c r="M2" s="149"/>
      <c r="N2" s="149"/>
      <c r="O2" s="149"/>
      <c r="P2" s="149"/>
      <c r="Q2" s="11" t="s">
        <v>39</v>
      </c>
      <c r="R2" s="12"/>
      <c r="S2" s="12"/>
      <c r="T2" s="13"/>
      <c r="U2" s="10"/>
      <c r="V2" s="14"/>
      <c r="AK2" s="14"/>
      <c r="AM2" s="17"/>
      <c r="AN2" s="17"/>
      <c r="AO2" s="18"/>
    </row>
    <row r="3" spans="1:50" ht="4.25" customHeight="1" thickBot="1" x14ac:dyDescent="0.85">
      <c r="A3" s="9"/>
      <c r="B3" s="10"/>
      <c r="C3" s="141"/>
      <c r="D3" s="142"/>
      <c r="E3" s="142"/>
      <c r="F3" s="142"/>
      <c r="G3" s="142"/>
      <c r="H3" s="142"/>
      <c r="I3" s="142"/>
      <c r="J3" s="142"/>
      <c r="K3" s="142"/>
      <c r="L3" s="142"/>
      <c r="M3" s="142"/>
      <c r="N3" s="142"/>
      <c r="O3" s="142"/>
      <c r="P3" s="142"/>
      <c r="Q3" s="142"/>
      <c r="T3" s="13"/>
      <c r="U3" s="10"/>
      <c r="AK3" s="14"/>
      <c r="AM3" s="17"/>
      <c r="AN3" s="17"/>
      <c r="AO3" s="18"/>
    </row>
    <row r="4" spans="1:50" ht="40.5" customHeight="1" thickTop="1" thickBot="1" x14ac:dyDescent="0.5">
      <c r="A4" s="9"/>
      <c r="B4" s="10"/>
      <c r="C4" s="153" t="s">
        <v>40</v>
      </c>
      <c r="D4" s="154"/>
      <c r="E4" s="154"/>
      <c r="F4" s="154"/>
      <c r="G4" s="154"/>
      <c r="H4" s="154"/>
      <c r="I4" s="149"/>
      <c r="J4" s="149"/>
      <c r="K4" s="149"/>
      <c r="L4" s="149"/>
      <c r="M4" s="149"/>
      <c r="N4" s="149"/>
      <c r="O4" s="149"/>
      <c r="Q4" s="150" t="s">
        <v>107</v>
      </c>
      <c r="R4" s="151"/>
      <c r="S4" s="152"/>
      <c r="T4" s="13"/>
      <c r="U4" s="142"/>
      <c r="W4" s="19" t="e">
        <f>_xlfn.XLOOKUP(TEXT(Q4,"mmmm yyyy"),$V$7:$V$200,$W$7:$W$200)</f>
        <v>#N/A</v>
      </c>
      <c r="Y4" s="15" t="s">
        <v>41</v>
      </c>
      <c r="AC4" s="15" t="s">
        <v>42</v>
      </c>
      <c r="AD4" s="15" t="s">
        <v>43</v>
      </c>
      <c r="AE4" s="15" t="s">
        <v>44</v>
      </c>
      <c r="AF4" s="15" t="s">
        <v>45</v>
      </c>
      <c r="AG4" s="15" t="s">
        <v>42</v>
      </c>
      <c r="AH4" s="15" t="s">
        <v>46</v>
      </c>
      <c r="AJ4" s="20" t="s">
        <v>47</v>
      </c>
      <c r="AK4" s="20" t="s">
        <v>48</v>
      </c>
      <c r="AL4" s="20" t="s">
        <v>46</v>
      </c>
      <c r="AM4" s="20" t="e">
        <f>TEXT(AK6,"MMMM")&amp;" Spending"</f>
        <v>#N/A</v>
      </c>
      <c r="AN4" s="20" t="s">
        <v>49</v>
      </c>
      <c r="AO4" s="20" t="s">
        <v>50</v>
      </c>
      <c r="AP4" s="20" t="s">
        <v>46</v>
      </c>
      <c r="AQ4" s="20" t="e">
        <f>TEXT(AO6,"MMMM")&amp;" Spending"</f>
        <v>#N/A</v>
      </c>
      <c r="AR4" s="20" t="s">
        <v>49</v>
      </c>
      <c r="AS4" s="21"/>
      <c r="AT4" s="15" t="s">
        <v>51</v>
      </c>
      <c r="AU4" s="15" t="s">
        <v>46</v>
      </c>
      <c r="AV4" s="15" t="s">
        <v>52</v>
      </c>
      <c r="AW4" s="15" t="s">
        <v>53</v>
      </c>
      <c r="AX4" s="15" t="s">
        <v>54</v>
      </c>
    </row>
    <row r="5" spans="1:50" s="16" customFormat="1" ht="4.25" customHeight="1" thickTop="1" x14ac:dyDescent="0.35">
      <c r="A5" s="22"/>
      <c r="B5" s="23"/>
      <c r="C5" s="23"/>
      <c r="D5" s="8"/>
      <c r="E5" s="8"/>
      <c r="F5" s="8"/>
      <c r="G5" s="8"/>
      <c r="H5" s="8"/>
      <c r="I5" s="8"/>
      <c r="J5" s="8"/>
      <c r="K5" s="8"/>
      <c r="L5" s="8"/>
      <c r="M5" s="8"/>
      <c r="N5" s="8"/>
      <c r="O5" s="8"/>
      <c r="P5" s="8"/>
      <c r="Q5" s="8"/>
      <c r="R5" s="8"/>
      <c r="S5" s="8"/>
      <c r="T5" s="8"/>
      <c r="U5" s="23"/>
    </row>
    <row r="6" spans="1:50" ht="14.75" customHeight="1" thickBot="1" x14ac:dyDescent="0.4">
      <c r="A6" s="24"/>
      <c r="G6" s="25"/>
      <c r="V6" s="26" t="s">
        <v>55</v>
      </c>
      <c r="W6" s="26" t="s">
        <v>56</v>
      </c>
      <c r="Y6" s="27" t="str">
        <f>TEXT(ABS(Z9),"$#,##0")&amp;" "&amp;IF(Z7&gt;Z8,"less was spent compared to last month","more was spent compared to last month")</f>
        <v>$0 more was spent compared to last month</v>
      </c>
      <c r="Z6" s="28"/>
      <c r="AA6" s="28"/>
      <c r="AC6" s="29" t="str">
        <f>IF(Categories!E7="Expense",Categories!D7,"--")</f>
        <v>--</v>
      </c>
      <c r="AD6" s="30">
        <f>SUMIFS(Table1[Amount $],Table1[Category],Snapshot!AC6,Table1[Amount $],"&lt;"&amp;0,Table1[Month],Snapshot!$W$4)*-1</f>
        <v>0</v>
      </c>
      <c r="AE6" s="27">
        <f>RANK(AD6,$AD$6:$AD$35,0)+COUNTIF(AD6:$AD$6,AD6)-1</f>
        <v>1</v>
      </c>
      <c r="AF6" s="27">
        <v>1</v>
      </c>
      <c r="AG6" s="27" t="str" cm="1">
        <f t="array" ref="AG6">IF(INDEX($AD$6:$AD$35,MATCH(AF6,$AE$6:$AE$35,0),0)=0,"",INDEX($AC$6:$AC$35,MATCH(AF6,$AE$6:$AE$35,0),0))</f>
        <v/>
      </c>
      <c r="AH6" s="30" cm="1">
        <f t="array" ref="AH6">IF(INDEX($AD$6:$AD$35,MATCH(AF6,$AE$6:$AE$35,0),0)=0,0,INDEX($AD$6:$AD$35,MATCH(AF6,$AE$6:$AE$35,0),0))</f>
        <v>0</v>
      </c>
      <c r="AI6" s="31"/>
      <c r="AJ6" s="32">
        <f>DATE(2000,1,1)</f>
        <v>36526</v>
      </c>
      <c r="AK6" s="32" t="e">
        <f>DATE(YEAR(W4),MONTH(W4),DAY(W4))</f>
        <v>#N/A</v>
      </c>
      <c r="AL6" s="33">
        <f>SUMIFS(Table1[Amount $],Table1[Amount $],"&lt;"&amp;0,Table1[Category Type],"Expense",Table1[Date],Snapshot!AK6)*-1</f>
        <v>0</v>
      </c>
      <c r="AM6" s="33" t="e">
        <f ca="1">IF(AK6&gt;TODAY(),NA(),SUM(AL6:$AL$6))</f>
        <v>#N/A</v>
      </c>
      <c r="AN6" s="33" t="e">
        <f ca="1">IF(OR(AK6=EOMONTH($AK$6,0),AK6=TODAY()),AM6,NA())</f>
        <v>#N/A</v>
      </c>
      <c r="AO6" s="32" t="e">
        <f>DATE(YEAR(AK6),MONTH(AK6)-1,DAY(AK6))</f>
        <v>#N/A</v>
      </c>
      <c r="AP6" s="33">
        <f>SUMIFS(Table1[Amount $],Table1[Amount $],"&lt;"&amp;0,Table1[Category Type],"Expense",Table1[Date],Snapshot!AO6)*-1</f>
        <v>0</v>
      </c>
      <c r="AQ6" s="33" t="e">
        <f>IF(AO6&lt;=EOMONTH($AO$6,0),SUM(AP$6:$AP6),NA())</f>
        <v>#N/A</v>
      </c>
      <c r="AR6" s="33" t="e">
        <f>IF(AO6=EOMONTH($AO$6,0),AQ6,NA())</f>
        <v>#N/A</v>
      </c>
      <c r="AT6" s="27" t="e" cm="1">
        <f t="array" ref="AT6">_xlfn.UNIQUE(_xlfn._xlws.FILTER(Table1[Merchant],(Table1[Merchant]&lt;&gt;"")*(Table1[Amount $]&lt;0)*(Table1[Month]=Snapshot!$W$4)*(Table1[Category Type]="Expense")))</f>
        <v>#N/A</v>
      </c>
      <c r="AU6" s="34">
        <f>IF(ISBLANK(AT6),"",SUMIFS(Table1[Amount $],Table1[Amount $],"&lt;"&amp;0,Table1[Merchant],Snapshot!AT6,Table1[Month],Snapshot!$W$4)*-1)</f>
        <v>0</v>
      </c>
      <c r="AV6" s="27">
        <f>IF(ISBLANK(AT6),"",COUNTIFS(Table1[Merchant],Snapshot!AT6,Table1[Month],Snapshot!$W$4))</f>
        <v>0</v>
      </c>
      <c r="AW6" s="27">
        <f>IFERROR(RANK(AV6,$AV$6:$AV$200)+COUNTIF($AV$6:AV6,AV6)-1,"")</f>
        <v>1</v>
      </c>
      <c r="AX6" s="27">
        <f>IFERROR(RANK(AU6,$AU$6:$AU$200)+COUNTIF($AU$6:AU6,AU6)-1,"")</f>
        <v>1</v>
      </c>
    </row>
    <row r="7" spans="1:50" ht="20" customHeight="1" x14ac:dyDescent="0.45">
      <c r="A7" s="24"/>
      <c r="C7" s="35"/>
      <c r="D7" s="36" t="s">
        <v>57</v>
      </c>
      <c r="E7" s="37"/>
      <c r="F7" s="37"/>
      <c r="G7" s="37"/>
      <c r="H7" s="38"/>
      <c r="I7" s="37"/>
      <c r="J7" s="39"/>
      <c r="L7" s="35"/>
      <c r="M7" s="36" t="s">
        <v>58</v>
      </c>
      <c r="N7" s="37"/>
      <c r="O7" s="37"/>
      <c r="P7" s="37"/>
      <c r="Q7" s="37"/>
      <c r="R7" s="37"/>
      <c r="S7" s="37"/>
      <c r="T7" s="39"/>
      <c r="V7" s="40" t="e" vm="1">
        <f t="shared" ref="V7:V8" si="0">IF(ISBLANK(W7),"--",TEXT(W7,"mmmm")&amp;" "&amp;TEXT(W7,"YYYY"))</f>
        <v>#VALUE!</v>
      </c>
      <c r="W7" s="40" t="e" cm="1" vm="2">
        <f t="array" ref="W7">_xlfn._xlws.SORT(_xlfn.UNIQUE(_xlfn._xlws.FILTER(Table1[Month],Table1[Month]&lt;&gt;"",)),1,-1)</f>
        <v>#VALUE!</v>
      </c>
      <c r="X7" s="41"/>
      <c r="Y7" s="29" t="str">
        <f>IFERROR(TEXT(AO6,"mmmm"),"--")</f>
        <v>--</v>
      </c>
      <c r="Z7" s="42">
        <f>SUMIFS(Table1[Amount $],Table1[Category Type],"Expense",Table1[Amount $],"&lt;"&amp;0,Table1[Month],DATE(YEAR(Snapshot!$W$4),MONTH(Snapshot!$W$4)-1,DAY(Snapshot!$W$4)))*-1</f>
        <v>0</v>
      </c>
      <c r="AA7" s="42"/>
      <c r="AB7" s="41"/>
      <c r="AC7" s="29" t="str">
        <f>IF(Categories!E8="Expense",Categories!D8,"--")</f>
        <v>--</v>
      </c>
      <c r="AD7" s="30">
        <f>SUMIFS(Table1[Amount $],Table1[Category],Snapshot!AC7,Table1[Amount $],"&lt;"&amp;0,Table1[Month],Snapshot!$W$4)*-1</f>
        <v>0</v>
      </c>
      <c r="AE7" s="27">
        <f>RANK(AD7,$AD$6:$AD$35,0)+COUNTIF(AD$6:$AD7,AD7)-1</f>
        <v>2</v>
      </c>
      <c r="AF7" s="27">
        <v>2</v>
      </c>
      <c r="AG7" s="27" t="str" cm="1">
        <f t="array" ref="AG7">IF(INDEX($AD$6:$AD$35,MATCH(AF7,$AE$6:$AE$35,0),0)=0,"",INDEX($AC$6:$AC$35,MATCH(AF7,$AE$6:$AE$35,0),0))</f>
        <v/>
      </c>
      <c r="AH7" s="30" cm="1">
        <f t="array" ref="AH7">IF(INDEX($AD$6:$AD$35,MATCH(AF7,$AE$6:$AE$35,0),0)=0,0,INDEX($AD$6:$AD$35,MATCH(AF7,$AE$6:$AE$35,0),0))</f>
        <v>0</v>
      </c>
      <c r="AI7" s="31"/>
      <c r="AJ7" s="32">
        <f>DATE(YEAR(AJ6),MONTH(AJ6),DAY(AJ6)+1)</f>
        <v>36527</v>
      </c>
      <c r="AK7" s="32" t="e">
        <f>IF(MONTH(AK6)=MONTH(DATE(YEAR(AK6),MONTH(AK6),DAY(AK6)+1)),DATE(YEAR(AK6),MONTH(AK6),DAY(AK6)+1),NA())</f>
        <v>#N/A</v>
      </c>
      <c r="AL7" s="33">
        <f>SUMIFS(Table1[Amount $],Table1[Amount $],"&lt;"&amp;0,Table1[Category Type],"Expense",Table1[Date],Snapshot!AK7)*-1</f>
        <v>0</v>
      </c>
      <c r="AM7" s="33" t="e">
        <f ca="1">IF(AK7&gt;TODAY(),NA(),SUM(AL$6:$AL7))</f>
        <v>#N/A</v>
      </c>
      <c r="AN7" s="33" t="e">
        <f t="shared" ref="AN7:AN36" ca="1" si="1">IF(OR(AK7=EOMONTH($AK$6,0),AK7=TODAY()),AM7,NA())</f>
        <v>#N/A</v>
      </c>
      <c r="AO7" s="32" t="e">
        <f>IF(MONTH(AO6)=MONTH(DATE(YEAR(AO6),MONTH(AO6),DAY(AO6)+1)),DATE(YEAR(AO6),MONTH(AO6),DAY(AO6)+1),NA())</f>
        <v>#N/A</v>
      </c>
      <c r="AP7" s="33">
        <f>SUMIFS(Table1[Amount $],Table1[Amount $],"&lt;"&amp;0,Table1[Category Type],"Expense",Table1[Date],Snapshot!AO7)*-1</f>
        <v>0</v>
      </c>
      <c r="AQ7" s="33" t="e">
        <f>IF(AO7&lt;=EOMONTH($AO$6,0),SUM(AP$6:$AP7),NA())</f>
        <v>#N/A</v>
      </c>
      <c r="AR7" s="33" t="e">
        <f t="shared" ref="AR7:AR36" si="2">IF(AO7=EOMONTH($AO$6,0),AQ7,NA())</f>
        <v>#N/A</v>
      </c>
      <c r="AT7" s="27"/>
      <c r="AU7" s="34" t="str">
        <f>IF(ISBLANK(AT7),"",SUMIFS(Table1[Amount $],Table1[Amount $],"&lt;"&amp;0,Table1[Merchant],Snapshot!AT7,Table1[Month],Snapshot!$W$4)*-1)</f>
        <v/>
      </c>
      <c r="AV7" s="27" t="str">
        <f>IF(ISBLANK(AT7),"",COUNTIFS(Table1[Merchant],Snapshot!AT7,Table1[Month],Snapshot!$W$4))</f>
        <v/>
      </c>
      <c r="AW7" s="27" t="str">
        <f>IFERROR(RANK(AV7,$AV$6:$AV$200)+COUNTIF($AV$6:AV7,AV7)-1,"")</f>
        <v/>
      </c>
      <c r="AX7" s="27" t="str">
        <f>IFERROR(RANK(AU7,$AU$6:$AU$200)+COUNTIF($AU$6:AU7,AU7)-1,"")</f>
        <v/>
      </c>
    </row>
    <row r="8" spans="1:50" ht="14.75" customHeight="1" x14ac:dyDescent="0.35">
      <c r="A8" s="24"/>
      <c r="C8" s="43"/>
      <c r="D8" s="44" t="str">
        <f>Y6</f>
        <v>$0 more was spent compared to last month</v>
      </c>
      <c r="H8" s="16"/>
      <c r="J8" s="45"/>
      <c r="L8" s="43"/>
      <c r="M8" s="44" t="e">
        <f>Q10&amp;" accounts for "&amp;TEXT(S10/S22,"0%")&amp;" of money spent this month"</f>
        <v>#DIV/0!</v>
      </c>
      <c r="T8" s="45"/>
      <c r="V8" s="40" t="str">
        <f t="shared" si="0"/>
        <v>--</v>
      </c>
      <c r="W8" s="40"/>
      <c r="X8" s="41"/>
      <c r="Y8" s="27" t="str">
        <f>IFERROR(TEXT(AK6,"mmmm"),"--")</f>
        <v>--</v>
      </c>
      <c r="Z8" s="42">
        <f>SUMIFS(Table1[Amount $],Table1[Category Type],"Expense",Table1[Amount $],"&lt;"&amp;0,Table1[Month],Snapshot!$W$4)*-1</f>
        <v>0</v>
      </c>
      <c r="AA8" s="42"/>
      <c r="AB8" s="41"/>
      <c r="AC8" s="29" t="str">
        <f>IF(Categories!E9="Expense",Categories!D9,"--")</f>
        <v>--</v>
      </c>
      <c r="AD8" s="30">
        <f>SUMIFS(Table1[Amount $],Table1[Category],Snapshot!AC8,Table1[Amount $],"&lt;"&amp;0,Table1[Month],Snapshot!$W$4)*-1</f>
        <v>0</v>
      </c>
      <c r="AE8" s="27">
        <f>RANK(AD8,$AD$6:$AD$35,0)+COUNTIF(AD$6:$AD8,AD8)-1</f>
        <v>3</v>
      </c>
      <c r="AF8" s="27">
        <v>3</v>
      </c>
      <c r="AG8" s="27" t="str" cm="1">
        <f t="array" ref="AG8">IF(INDEX($AD$6:$AD$35,MATCH(AF8,$AE$6:$AE$35,0),0)=0,"",INDEX($AC$6:$AC$35,MATCH(AF8,$AE$6:$AE$35,0),0))</f>
        <v/>
      </c>
      <c r="AH8" s="30" cm="1">
        <f t="array" ref="AH8">IF(INDEX($AD$6:$AD$35,MATCH(AF8,$AE$6:$AE$35,0),0)=0,0,INDEX($AD$6:$AD$35,MATCH(AF8,$AE$6:$AE$35,0),0))</f>
        <v>0</v>
      </c>
      <c r="AI8" s="31"/>
      <c r="AJ8" s="32">
        <f t="shared" ref="AJ8:AJ36" si="3">DATE(YEAR(AJ7),MONTH(AJ7),DAY(AJ7)+1)</f>
        <v>36528</v>
      </c>
      <c r="AK8" s="32" t="e">
        <f t="shared" ref="AK8:AK36" si="4">IF(MONTH(AK7)=MONTH(DATE(YEAR(AK7),MONTH(AK7),DAY(AK7)+1)),DATE(YEAR(AK7),MONTH(AK7),DAY(AK7)+1),NA())</f>
        <v>#N/A</v>
      </c>
      <c r="AL8" s="33">
        <f>SUMIFS(Table1[Amount $],Table1[Amount $],"&lt;"&amp;0,Table1[Category Type],"Expense",Table1[Date],Snapshot!AK8)*-1</f>
        <v>0</v>
      </c>
      <c r="AM8" s="33" t="e">
        <f ca="1">IF(AK8&gt;TODAY(),NA(),SUM(AL$6:$AL8))</f>
        <v>#N/A</v>
      </c>
      <c r="AN8" s="33" t="e">
        <f t="shared" ca="1" si="1"/>
        <v>#N/A</v>
      </c>
      <c r="AO8" s="32" t="e">
        <f t="shared" ref="AO8:AO36" si="5">IF(MONTH(AO7)=MONTH(DATE(YEAR(AO7),MONTH(AO7),DAY(AO7)+1)),DATE(YEAR(AO7),MONTH(AO7),DAY(AO7)+1),NA())</f>
        <v>#N/A</v>
      </c>
      <c r="AP8" s="33">
        <f>SUMIFS(Table1[Amount $],Table1[Amount $],"&lt;"&amp;0,Table1[Category Type],"Expense",Table1[Date],Snapshot!AO8)*-1</f>
        <v>0</v>
      </c>
      <c r="AQ8" s="33" t="e">
        <f>IF(AO8&lt;=EOMONTH($AO$6,0),SUM(AP$6:$AP8),NA())</f>
        <v>#N/A</v>
      </c>
      <c r="AR8" s="33" t="e">
        <f t="shared" si="2"/>
        <v>#N/A</v>
      </c>
      <c r="AT8" s="27"/>
      <c r="AU8" s="34" t="str">
        <f>IF(ISBLANK(AT8),"",SUMIFS(Table1[Amount $],Table1[Amount $],"&lt;"&amp;0,Table1[Merchant],Snapshot!AT8,Table1[Month],Snapshot!$W$4)*-1)</f>
        <v/>
      </c>
      <c r="AV8" s="27" t="str">
        <f>IF(ISBLANK(AT8),"",COUNTIFS(Table1[Merchant],Snapshot!AT8,Table1[Month],Snapshot!$W$4))</f>
        <v/>
      </c>
      <c r="AW8" s="27" t="str">
        <f>IFERROR(RANK(AV8,$AV$6:$AV$200)+COUNTIF($AV$6:AV8,AV8)-1,"")</f>
        <v/>
      </c>
      <c r="AX8" s="27" t="str">
        <f>IFERROR(RANK(AU8,$AU$6:$AU$200)+COUNTIF($AU$6:AU8,AU8)-1,"")</f>
        <v/>
      </c>
    </row>
    <row r="9" spans="1:50" ht="14.75" customHeight="1" x14ac:dyDescent="0.35">
      <c r="A9" s="24"/>
      <c r="C9" s="43"/>
      <c r="H9" s="16"/>
      <c r="J9" s="45"/>
      <c r="L9" s="43"/>
      <c r="O9" s="16"/>
      <c r="T9" s="45"/>
      <c r="V9" s="40" t="str">
        <f>IF(ISBLANK(W9),"--",TEXT(W9,"mmmm")&amp;" "&amp;TEXT(W9,"YYYY"))</f>
        <v>--</v>
      </c>
      <c r="W9" s="40"/>
      <c r="X9" s="41"/>
      <c r="Y9" s="27" t="s">
        <v>59</v>
      </c>
      <c r="Z9" s="42">
        <f>Z8-Z7</f>
        <v>0</v>
      </c>
      <c r="AA9" s="42"/>
      <c r="AB9" s="41"/>
      <c r="AC9" s="29" t="str">
        <f>IF(Categories!E10="Expense",Categories!D10,"--")</f>
        <v>Auto/Transport</v>
      </c>
      <c r="AD9" s="30">
        <f>SUMIFS(Table1[Amount $],Table1[Category],Snapshot!AC9,Table1[Amount $],"&lt;"&amp;0,Table1[Month],Snapshot!$W$4)*-1</f>
        <v>0</v>
      </c>
      <c r="AE9" s="27">
        <f>RANK(AD9,$AD$6:$AD$35,0)+COUNTIF(AD$6:$AD9,AD9)-1</f>
        <v>4</v>
      </c>
      <c r="AF9" s="27">
        <v>4</v>
      </c>
      <c r="AG9" s="27" t="str" cm="1">
        <f t="array" ref="AG9">IF(INDEX($AD$6:$AD$35,MATCH(AF9,$AE$6:$AE$35,0),0)=0,"",INDEX($AC$6:$AC$35,MATCH(AF9,$AE$6:$AE$35,0),0))</f>
        <v/>
      </c>
      <c r="AH9" s="30" cm="1">
        <f t="array" ref="AH9">IF(INDEX($AD$6:$AD$35,MATCH(AF9,$AE$6:$AE$35,0),0)=0,0,INDEX($AD$6:$AD$35,MATCH(AF9,$AE$6:$AE$35,0),0))</f>
        <v>0</v>
      </c>
      <c r="AJ9" s="32">
        <f t="shared" si="3"/>
        <v>36529</v>
      </c>
      <c r="AK9" s="32" t="e">
        <f t="shared" si="4"/>
        <v>#N/A</v>
      </c>
      <c r="AL9" s="33">
        <f>SUMIFS(Table1[Amount $],Table1[Amount $],"&lt;"&amp;0,Table1[Category Type],"Expense",Table1[Date],Snapshot!AK9)*-1</f>
        <v>0</v>
      </c>
      <c r="AM9" s="33" t="e">
        <f ca="1">IF(AK9&gt;TODAY(),NA(),SUM(AL$6:$AL9))</f>
        <v>#N/A</v>
      </c>
      <c r="AN9" s="33" t="e">
        <f t="shared" ca="1" si="1"/>
        <v>#N/A</v>
      </c>
      <c r="AO9" s="32" t="e">
        <f t="shared" si="5"/>
        <v>#N/A</v>
      </c>
      <c r="AP9" s="33">
        <f>SUMIFS(Table1[Amount $],Table1[Amount $],"&lt;"&amp;0,Table1[Category Type],"Expense",Table1[Date],Snapshot!AO9)*-1</f>
        <v>0</v>
      </c>
      <c r="AQ9" s="33" t="e">
        <f>IF(AO9&lt;=EOMONTH($AO$6,0),SUM(AP$6:$AP9),NA())</f>
        <v>#N/A</v>
      </c>
      <c r="AR9" s="33" t="e">
        <f t="shared" si="2"/>
        <v>#N/A</v>
      </c>
      <c r="AT9" s="27"/>
      <c r="AU9" s="34" t="str">
        <f>IF(ISBLANK(AT9),"",SUMIFS(Table1[Amount $],Table1[Amount $],"&lt;"&amp;0,Table1[Merchant],Snapshot!AT9,Table1[Month],Snapshot!$W$4)*-1)</f>
        <v/>
      </c>
      <c r="AV9" s="27" t="str">
        <f>IF(ISBLANK(AT9),"",COUNTIFS(Table1[Merchant],Snapshot!AT9,Table1[Month],Snapshot!$W$4))</f>
        <v/>
      </c>
      <c r="AW9" s="27" t="str">
        <f>IFERROR(RANK(AV9,$AV$6:$AV$200)+COUNTIF($AV$6:AV9,AV9)-1,"")</f>
        <v/>
      </c>
      <c r="AX9" s="27" t="str">
        <f>IFERROR(RANK(AU9,$AU$6:$AU$200)+COUNTIF($AU$6:AU9,AU9)-1,"")</f>
        <v/>
      </c>
    </row>
    <row r="10" spans="1:50" ht="14.75" customHeight="1" x14ac:dyDescent="0.35">
      <c r="A10" s="24"/>
      <c r="C10" s="43"/>
      <c r="D10" s="142"/>
      <c r="E10" s="142"/>
      <c r="F10" s="142"/>
      <c r="G10" s="142"/>
      <c r="H10" s="16"/>
      <c r="J10" s="45"/>
      <c r="L10" s="43"/>
      <c r="O10" s="16"/>
      <c r="P10" s="46"/>
      <c r="Q10" s="47" t="str" cm="1">
        <f t="array" ref="Q10">INDEX($AG$6:$AG$11,MATCH(1,$AF$6:$AF$11,0),0)</f>
        <v/>
      </c>
      <c r="R10" s="48"/>
      <c r="S10" s="49" cm="1">
        <f t="array" ref="S10">INDEX($AH$6:$AH$11,MATCH(1,$AF$6:$AF$11,0),0)</f>
        <v>0</v>
      </c>
      <c r="T10" s="45"/>
      <c r="V10" s="40" t="str">
        <f t="shared" ref="V10:V64" si="6">IF(ISBLANK(W10),"--",TEXT(W10,"mmmm")&amp;" "&amp;TEXT(W10,"YYYY"))</f>
        <v>--</v>
      </c>
      <c r="W10" s="40"/>
      <c r="X10" s="41"/>
      <c r="Z10" s="16"/>
      <c r="AA10" s="16"/>
      <c r="AB10" s="41"/>
      <c r="AC10" s="29" t="str">
        <f>IF(Categories!E11="Expense",Categories!D11,"--")</f>
        <v>Bills/Utilities</v>
      </c>
      <c r="AD10" s="30">
        <f>SUMIFS(Table1[Amount $],Table1[Category],Snapshot!AC10,Table1[Amount $],"&lt;"&amp;0,Table1[Month],Snapshot!$W$4)*-1</f>
        <v>0</v>
      </c>
      <c r="AE10" s="27">
        <f>RANK(AD10,$AD$6:$AD$35,0)+COUNTIF(AD$6:$AD10,AD10)-1</f>
        <v>5</v>
      </c>
      <c r="AF10" s="27">
        <v>5</v>
      </c>
      <c r="AG10" s="27" t="str" cm="1">
        <f t="array" ref="AG10">IF(INDEX($AD$6:$AD$35,MATCH(AF10,$AE$6:$AE$35,0),0)=0,"",INDEX($AC$6:$AC$35,MATCH(AF10,$AE$6:$AE$35,0),0))</f>
        <v/>
      </c>
      <c r="AH10" s="30" cm="1">
        <f t="array" ref="AH10">IF(INDEX($AD$6:$AD$35,MATCH(AF10,$AE$6:$AE$35,0),0)=0,0,INDEX($AD$6:$AD$35,MATCH(AF10,$AE$6:$AE$35,0),0))</f>
        <v>0</v>
      </c>
      <c r="AJ10" s="32">
        <f t="shared" si="3"/>
        <v>36530</v>
      </c>
      <c r="AK10" s="32" t="e">
        <f t="shared" si="4"/>
        <v>#N/A</v>
      </c>
      <c r="AL10" s="33">
        <f>SUMIFS(Table1[Amount $],Table1[Amount $],"&lt;"&amp;0,Table1[Category Type],"Expense",Table1[Date],Snapshot!AK10)*-1</f>
        <v>0</v>
      </c>
      <c r="AM10" s="33" t="e">
        <f ca="1">IF(AK10&gt;TODAY(),NA(),SUM(AL$6:$AL10))</f>
        <v>#N/A</v>
      </c>
      <c r="AN10" s="33" t="e">
        <f t="shared" ca="1" si="1"/>
        <v>#N/A</v>
      </c>
      <c r="AO10" s="32" t="e">
        <f t="shared" si="5"/>
        <v>#N/A</v>
      </c>
      <c r="AP10" s="33">
        <f>SUMIFS(Table1[Amount $],Table1[Amount $],"&lt;"&amp;0,Table1[Category Type],"Expense",Table1[Date],Snapshot!AO10)*-1</f>
        <v>0</v>
      </c>
      <c r="AQ10" s="33" t="e">
        <f>IF(AO10&lt;=EOMONTH($AO$6,0),SUM(AP$6:$AP10),NA())</f>
        <v>#N/A</v>
      </c>
      <c r="AR10" s="33" t="e">
        <f t="shared" si="2"/>
        <v>#N/A</v>
      </c>
      <c r="AT10" s="27"/>
      <c r="AU10" s="34" t="str">
        <f>IF(ISBLANK(AT10),"",SUMIFS(Table1[Amount $],Table1[Amount $],"&lt;"&amp;0,Table1[Merchant],Snapshot!AT10,Table1[Month],Snapshot!$W$4)*-1)</f>
        <v/>
      </c>
      <c r="AV10" s="27" t="str">
        <f>IF(ISBLANK(AT10),"",COUNTIFS(Table1[Merchant],Snapshot!AT10,Table1[Month],Snapshot!$W$4))</f>
        <v/>
      </c>
      <c r="AW10" s="27" t="str">
        <f>IFERROR(RANK(AV10,$AV$6:$AV$200)+COUNTIF($AV$6:AV10,AV10)-1,"")</f>
        <v/>
      </c>
      <c r="AX10" s="27" t="str">
        <f>IFERROR(RANK(AU10,$AU$6:$AU$200)+COUNTIF($AU$6:AU10,AU10)-1,"")</f>
        <v/>
      </c>
    </row>
    <row r="11" spans="1:50" ht="14.75" customHeight="1" x14ac:dyDescent="0.45">
      <c r="A11" s="24"/>
      <c r="C11" s="43"/>
      <c r="D11" s="50"/>
      <c r="E11" s="50"/>
      <c r="F11" s="50"/>
      <c r="G11" s="51"/>
      <c r="H11" s="16"/>
      <c r="J11" s="45"/>
      <c r="L11" s="43"/>
      <c r="O11" s="16"/>
      <c r="Q11" s="52"/>
      <c r="T11" s="45"/>
      <c r="V11" s="40" t="str">
        <f t="shared" si="6"/>
        <v>--</v>
      </c>
      <c r="W11" s="40"/>
      <c r="X11" s="41"/>
      <c r="Y11" s="53"/>
      <c r="Z11" s="16"/>
      <c r="AA11" s="16"/>
      <c r="AB11" s="41"/>
      <c r="AC11" s="29" t="str">
        <f>IF(Categories!E12="Expense",Categories!D12,"--")</f>
        <v>Entertainment</v>
      </c>
      <c r="AD11" s="30">
        <f>SUMIFS(Table1[Amount $],Table1[Category],Snapshot!AC11,Table1[Amount $],"&lt;"&amp;0,Table1[Month],Snapshot!$W$4)*-1</f>
        <v>0</v>
      </c>
      <c r="AE11" s="27">
        <f>RANK(AD11,$AD$6:$AD$35,0)+COUNTIF(AD$6:$AD11,AD11)-1</f>
        <v>6</v>
      </c>
      <c r="AF11" s="27">
        <v>6</v>
      </c>
      <c r="AG11" s="54" t="str">
        <f>IF(SUM(AH6:AH10)=SUM(AD6:AD35),"","All Other Categories")</f>
        <v/>
      </c>
      <c r="AH11" s="55">
        <f>SUM(AD6:AD35)-SUM(AH6:AH10)</f>
        <v>0</v>
      </c>
      <c r="AJ11" s="32">
        <f t="shared" si="3"/>
        <v>36531</v>
      </c>
      <c r="AK11" s="32" t="e">
        <f t="shared" si="4"/>
        <v>#N/A</v>
      </c>
      <c r="AL11" s="33">
        <f>SUMIFS(Table1[Amount $],Table1[Amount $],"&lt;"&amp;0,Table1[Category Type],"Expense",Table1[Date],Snapshot!AK11)*-1</f>
        <v>0</v>
      </c>
      <c r="AM11" s="33" t="e">
        <f ca="1">IF(AK11&gt;TODAY(),NA(),SUM(AL$6:$AL11))</f>
        <v>#N/A</v>
      </c>
      <c r="AN11" s="33" t="e">
        <f t="shared" ca="1" si="1"/>
        <v>#N/A</v>
      </c>
      <c r="AO11" s="32" t="e">
        <f t="shared" si="5"/>
        <v>#N/A</v>
      </c>
      <c r="AP11" s="33">
        <f>SUMIFS(Table1[Amount $],Table1[Amount $],"&lt;"&amp;0,Table1[Category Type],"Expense",Table1[Date],Snapshot!AO11)*-1</f>
        <v>0</v>
      </c>
      <c r="AQ11" s="33" t="e">
        <f>IF(AO11&lt;=EOMONTH($AO$6,0),SUM(AP$6:$AP11),NA())</f>
        <v>#N/A</v>
      </c>
      <c r="AR11" s="33" t="e">
        <f t="shared" si="2"/>
        <v>#N/A</v>
      </c>
      <c r="AT11" s="27"/>
      <c r="AU11" s="34" t="str">
        <f>IF(ISBLANK(AT11),"",SUMIFS(Table1[Amount $],Table1[Amount $],"&lt;"&amp;0,Table1[Merchant],Snapshot!AT11,Table1[Month],Snapshot!$W$4)*-1)</f>
        <v/>
      </c>
      <c r="AV11" s="27" t="str">
        <f>IF(ISBLANK(AT11),"",COUNTIFS(Table1[Merchant],Snapshot!AT11,Table1[Month],Snapshot!$W$4))</f>
        <v/>
      </c>
      <c r="AW11" s="27" t="str">
        <f>IFERROR(RANK(AV11,$AV$6:$AV$200)+COUNTIF($AV$6:AV11,AV11)-1,"")</f>
        <v/>
      </c>
      <c r="AX11" s="27" t="str">
        <f>IFERROR(RANK(AU11,$AU$6:$AU$200)+COUNTIF($AU$6:AU11,AU11)-1,"")</f>
        <v/>
      </c>
    </row>
    <row r="12" spans="1:50" ht="14.75" customHeight="1" x14ac:dyDescent="0.35">
      <c r="A12" s="24"/>
      <c r="C12" s="43"/>
      <c r="H12" s="16"/>
      <c r="J12" s="45"/>
      <c r="L12" s="43"/>
      <c r="O12" s="16"/>
      <c r="P12" s="56"/>
      <c r="Q12" s="47" t="str" cm="1">
        <f t="array" ref="Q12">INDEX($AG$6:$AG$11,MATCH(2,$AF$6:$AF$11,0),0)</f>
        <v/>
      </c>
      <c r="R12" s="48"/>
      <c r="S12" s="49" cm="1">
        <f t="array" ref="S12">INDEX($AH$6:$AH$11,MATCH(2,$AF$6:$AF$11,0),0)</f>
        <v>0</v>
      </c>
      <c r="T12" s="45"/>
      <c r="V12" s="40" t="str">
        <f t="shared" si="6"/>
        <v>--</v>
      </c>
      <c r="W12" s="40"/>
      <c r="X12" s="41"/>
      <c r="Y12" s="16"/>
      <c r="Z12" s="16"/>
      <c r="AA12" s="16"/>
      <c r="AB12" s="41"/>
      <c r="AC12" s="29" t="str">
        <f>IF(Categories!E13="Expense",Categories!D13,"--")</f>
        <v>Fees/Charges</v>
      </c>
      <c r="AD12" s="30">
        <f>SUMIFS(Table1[Amount $],Table1[Category],Snapshot!AC12,Table1[Amount $],"&lt;"&amp;0,Table1[Month],Snapshot!$W$4)*-1</f>
        <v>0</v>
      </c>
      <c r="AE12" s="27">
        <f>RANK(AD12,$AD$6:$AD$35,0)+COUNTIF(AD$6:$AD12,AD12)-1</f>
        <v>7</v>
      </c>
      <c r="AF12" s="27"/>
      <c r="AG12" s="27" t="s">
        <v>60</v>
      </c>
      <c r="AH12" s="30">
        <f>SUM(AH6:AH11)</f>
        <v>0</v>
      </c>
      <c r="AJ12" s="32">
        <f t="shared" si="3"/>
        <v>36532</v>
      </c>
      <c r="AK12" s="32" t="e">
        <f t="shared" si="4"/>
        <v>#N/A</v>
      </c>
      <c r="AL12" s="33">
        <f>SUMIFS(Table1[Amount $],Table1[Amount $],"&lt;"&amp;0,Table1[Category Type],"Expense",Table1[Date],Snapshot!AK12)*-1</f>
        <v>0</v>
      </c>
      <c r="AM12" s="33" t="e">
        <f ca="1">IF(AK12&gt;TODAY(),NA(),SUM(AL$6:$AL12))</f>
        <v>#N/A</v>
      </c>
      <c r="AN12" s="33" t="e">
        <f t="shared" ca="1" si="1"/>
        <v>#N/A</v>
      </c>
      <c r="AO12" s="32" t="e">
        <f t="shared" si="5"/>
        <v>#N/A</v>
      </c>
      <c r="AP12" s="33">
        <f>SUMIFS(Table1[Amount $],Table1[Amount $],"&lt;"&amp;0,Table1[Category Type],"Expense",Table1[Date],Snapshot!AO12)*-1</f>
        <v>0</v>
      </c>
      <c r="AQ12" s="33" t="e">
        <f>IF(AO12&lt;=EOMONTH($AO$6,0),SUM(AP$6:$AP12),NA())</f>
        <v>#N/A</v>
      </c>
      <c r="AR12" s="33" t="e">
        <f t="shared" si="2"/>
        <v>#N/A</v>
      </c>
      <c r="AT12" s="27"/>
      <c r="AU12" s="34" t="str">
        <f>IF(ISBLANK(AT12),"",SUMIFS(Table1[Amount $],Table1[Amount $],"&lt;"&amp;0,Table1[Merchant],Snapshot!AT12,Table1[Month],Snapshot!$W$4)*-1)</f>
        <v/>
      </c>
      <c r="AV12" s="27" t="str">
        <f>IF(ISBLANK(AT12),"",COUNTIFS(Table1[Merchant],Snapshot!AT12,Table1[Month],Snapshot!$W$4))</f>
        <v/>
      </c>
      <c r="AW12" s="27" t="str">
        <f>IFERROR(RANK(AV12,$AV$6:$AV$200)+COUNTIF($AV$6:AV12,AV12)-1,"")</f>
        <v/>
      </c>
      <c r="AX12" s="27" t="str">
        <f>IFERROR(RANK(AU12,$AU$6:$AU$200)+COUNTIF($AU$6:AU12,AU12)-1,"")</f>
        <v/>
      </c>
    </row>
    <row r="13" spans="1:50" ht="14.75" customHeight="1" x14ac:dyDescent="0.35">
      <c r="A13" s="24"/>
      <c r="C13" s="43"/>
      <c r="H13" s="16"/>
      <c r="J13" s="45"/>
      <c r="L13" s="43"/>
      <c r="O13" s="16"/>
      <c r="Q13" s="52"/>
      <c r="T13" s="45"/>
      <c r="V13" s="40" t="str">
        <f t="shared" si="6"/>
        <v>--</v>
      </c>
      <c r="W13" s="40"/>
      <c r="X13" s="41"/>
      <c r="Y13" s="16"/>
      <c r="Z13" s="16"/>
      <c r="AA13" s="16"/>
      <c r="AB13" s="41"/>
      <c r="AC13" s="29" t="str">
        <f>IF(Categories!E14="Expense",Categories!D14,"--")</f>
        <v>Groceries</v>
      </c>
      <c r="AD13" s="30">
        <f>SUMIFS(Table1[Amount $],Table1[Category],Snapshot!AC13,Table1[Amount $],"&lt;"&amp;0,Table1[Month],Snapshot!$W$4)*-1</f>
        <v>0</v>
      </c>
      <c r="AE13" s="27">
        <f>RANK(AD13,$AD$6:$AD$35,0)+COUNTIF(AD$6:$AD13,AD13)-1</f>
        <v>8</v>
      </c>
      <c r="AF13" s="27"/>
      <c r="AG13" s="27"/>
      <c r="AH13" s="27"/>
      <c r="AJ13" s="32">
        <f t="shared" si="3"/>
        <v>36533</v>
      </c>
      <c r="AK13" s="32" t="e">
        <f t="shared" si="4"/>
        <v>#N/A</v>
      </c>
      <c r="AL13" s="33">
        <f>SUMIFS(Table1[Amount $],Table1[Amount $],"&lt;"&amp;0,Table1[Category Type],"Expense",Table1[Date],Snapshot!AK13)*-1</f>
        <v>0</v>
      </c>
      <c r="AM13" s="33" t="e">
        <f ca="1">IF(AK13&gt;TODAY(),NA(),SUM(AL$6:$AL13))</f>
        <v>#N/A</v>
      </c>
      <c r="AN13" s="33" t="e">
        <f t="shared" ca="1" si="1"/>
        <v>#N/A</v>
      </c>
      <c r="AO13" s="32" t="e">
        <f t="shared" si="5"/>
        <v>#N/A</v>
      </c>
      <c r="AP13" s="33">
        <f>SUMIFS(Table1[Amount $],Table1[Amount $],"&lt;"&amp;0,Table1[Category Type],"Expense",Table1[Date],Snapshot!AO13)*-1</f>
        <v>0</v>
      </c>
      <c r="AQ13" s="33" t="e">
        <f>IF(AO13&lt;=EOMONTH($AO$6,0),SUM(AP$6:$AP13),NA())</f>
        <v>#N/A</v>
      </c>
      <c r="AR13" s="33" t="e">
        <f t="shared" si="2"/>
        <v>#N/A</v>
      </c>
      <c r="AT13" s="27"/>
      <c r="AU13" s="34" t="str">
        <f>IF(ISBLANK(AT13),"",SUMIFS(Table1[Amount $],Table1[Amount $],"&lt;"&amp;0,Table1[Merchant],Snapshot!AT13,Table1[Month],Snapshot!$W$4)*-1)</f>
        <v/>
      </c>
      <c r="AV13" s="27" t="str">
        <f>IF(ISBLANK(AT13),"",COUNTIFS(Table1[Merchant],Snapshot!AT13,Table1[Month],Snapshot!$W$4))</f>
        <v/>
      </c>
      <c r="AW13" s="27" t="str">
        <f>IFERROR(RANK(AV13,$AV$6:$AV$200)+COUNTIF($AV$6:AV13,AV13)-1,"")</f>
        <v/>
      </c>
      <c r="AX13" s="27" t="str">
        <f>IFERROR(RANK(AU13,$AU$6:$AU$200)+COUNTIF($AU$6:AU13,AU13)-1,"")</f>
        <v/>
      </c>
    </row>
    <row r="14" spans="1:50" ht="14.75" customHeight="1" x14ac:dyDescent="0.35">
      <c r="A14" s="24"/>
      <c r="C14" s="43"/>
      <c r="H14" s="16"/>
      <c r="J14" s="45"/>
      <c r="L14" s="43"/>
      <c r="O14" s="16"/>
      <c r="P14" s="57"/>
      <c r="Q14" s="47" t="str" cm="1">
        <f t="array" ref="Q14">INDEX($AG$6:$AG$11,MATCH(3,$AF$6:$AF$11,0),0)</f>
        <v/>
      </c>
      <c r="R14" s="48"/>
      <c r="S14" s="49" cm="1">
        <f t="array" ref="S14">INDEX($AH$6:$AH$11,MATCH(3,$AF$6:$AF$11,0),0)</f>
        <v>0</v>
      </c>
      <c r="T14" s="45"/>
      <c r="V14" s="40" t="str">
        <f t="shared" si="6"/>
        <v>--</v>
      </c>
      <c r="W14" s="40"/>
      <c r="X14" s="41"/>
      <c r="Y14" s="58"/>
      <c r="Z14" s="16"/>
      <c r="AA14" s="16"/>
      <c r="AB14" s="41"/>
      <c r="AC14" s="29" t="str">
        <f>IF(Categories!E15="Expense",Categories!D15,"--")</f>
        <v>Health/Fitness</v>
      </c>
      <c r="AD14" s="30">
        <f>SUMIFS(Table1[Amount $],Table1[Category],Snapshot!AC14,Table1[Amount $],"&lt;"&amp;0,Table1[Month],Snapshot!$W$4)*-1</f>
        <v>0</v>
      </c>
      <c r="AE14" s="27">
        <f>RANK(AD14,$AD$6:$AD$35,0)+COUNTIF(AD$6:$AD14,AD14)-1</f>
        <v>9</v>
      </c>
      <c r="AF14" s="27"/>
      <c r="AG14" s="27"/>
      <c r="AH14" s="27"/>
      <c r="AJ14" s="32">
        <f t="shared" si="3"/>
        <v>36534</v>
      </c>
      <c r="AK14" s="32" t="e">
        <f t="shared" si="4"/>
        <v>#N/A</v>
      </c>
      <c r="AL14" s="33">
        <f>SUMIFS(Table1[Amount $],Table1[Amount $],"&lt;"&amp;0,Table1[Category Type],"Expense",Table1[Date],Snapshot!AK14)*-1</f>
        <v>0</v>
      </c>
      <c r="AM14" s="33" t="e">
        <f ca="1">IF(AK14&gt;TODAY(),NA(),SUM(AL$6:$AL14))</f>
        <v>#N/A</v>
      </c>
      <c r="AN14" s="33" t="e">
        <f t="shared" ca="1" si="1"/>
        <v>#N/A</v>
      </c>
      <c r="AO14" s="32" t="e">
        <f t="shared" si="5"/>
        <v>#N/A</v>
      </c>
      <c r="AP14" s="33">
        <f>SUMIFS(Table1[Amount $],Table1[Amount $],"&lt;"&amp;0,Table1[Category Type],"Expense",Table1[Date],Snapshot!AO14)*-1</f>
        <v>0</v>
      </c>
      <c r="AQ14" s="33" t="e">
        <f>IF(AO14&lt;=EOMONTH($AO$6,0),SUM(AP$6:$AP14),NA())</f>
        <v>#N/A</v>
      </c>
      <c r="AR14" s="33" t="e">
        <f t="shared" si="2"/>
        <v>#N/A</v>
      </c>
      <c r="AT14" s="27"/>
      <c r="AU14" s="34" t="str">
        <f>IF(ISBLANK(AT14),"",SUMIFS(Table1[Amount $],Table1[Amount $],"&lt;"&amp;0,Table1[Merchant],Snapshot!AT14,Table1[Month],Snapshot!$W$4)*-1)</f>
        <v/>
      </c>
      <c r="AV14" s="27" t="str">
        <f>IF(ISBLANK(AT14),"",COUNTIFS(Table1[Merchant],Snapshot!AT14,Table1[Month],Snapshot!$W$4))</f>
        <v/>
      </c>
      <c r="AW14" s="27" t="str">
        <f>IFERROR(RANK(AV14,$AV$6:$AV$200)+COUNTIF($AV$6:AV14,AV14)-1,"")</f>
        <v/>
      </c>
      <c r="AX14" s="27" t="str">
        <f>IFERROR(RANK(AU14,$AU$6:$AU$200)+COUNTIF($AU$6:AU14,AU14)-1,"")</f>
        <v/>
      </c>
    </row>
    <row r="15" spans="1:50" ht="14.75" customHeight="1" x14ac:dyDescent="0.45">
      <c r="A15" s="24"/>
      <c r="C15" s="43"/>
      <c r="D15" s="59"/>
      <c r="E15" s="60"/>
      <c r="F15" s="60"/>
      <c r="G15" s="61"/>
      <c r="H15" s="16"/>
      <c r="J15" s="45"/>
      <c r="L15" s="43"/>
      <c r="O15" s="62"/>
      <c r="Q15" s="52"/>
      <c r="T15" s="45"/>
      <c r="V15" s="40" t="str">
        <f t="shared" si="6"/>
        <v>--</v>
      </c>
      <c r="W15" s="40"/>
      <c r="X15" s="41"/>
      <c r="Y15" s="41"/>
      <c r="Z15" s="53"/>
      <c r="AA15" s="53"/>
      <c r="AB15" s="41"/>
      <c r="AC15" s="29" t="str">
        <f>IF(Categories!E16="Expense",Categories!D16,"--")</f>
        <v>Home</v>
      </c>
      <c r="AD15" s="30">
        <f>SUMIFS(Table1[Amount $],Table1[Category],Snapshot!AC15,Table1[Amount $],"&lt;"&amp;0,Table1[Month],Snapshot!$W$4)*-1</f>
        <v>0</v>
      </c>
      <c r="AE15" s="27">
        <f>RANK(AD15,$AD$6:$AD$35,0)+COUNTIF(AD$6:$AD15,AD15)-1</f>
        <v>10</v>
      </c>
      <c r="AF15" s="27"/>
      <c r="AG15" s="27"/>
      <c r="AH15" s="27"/>
      <c r="AJ15" s="32">
        <f t="shared" si="3"/>
        <v>36535</v>
      </c>
      <c r="AK15" s="32" t="e">
        <f t="shared" si="4"/>
        <v>#N/A</v>
      </c>
      <c r="AL15" s="33">
        <f>SUMIFS(Table1[Amount $],Table1[Amount $],"&lt;"&amp;0,Table1[Category Type],"Expense",Table1[Date],Snapshot!AK15)*-1</f>
        <v>0</v>
      </c>
      <c r="AM15" s="33" t="e">
        <f ca="1">IF(AK15&gt;TODAY(),NA(),SUM(AL$6:$AL15))</f>
        <v>#N/A</v>
      </c>
      <c r="AN15" s="33" t="e">
        <f t="shared" ca="1" si="1"/>
        <v>#N/A</v>
      </c>
      <c r="AO15" s="32" t="e">
        <f t="shared" si="5"/>
        <v>#N/A</v>
      </c>
      <c r="AP15" s="33">
        <f>SUMIFS(Table1[Amount $],Table1[Amount $],"&lt;"&amp;0,Table1[Category Type],"Expense",Table1[Date],Snapshot!AO15)*-1</f>
        <v>0</v>
      </c>
      <c r="AQ15" s="33" t="e">
        <f>IF(AO15&lt;=EOMONTH($AO$6,0),SUM(AP$6:$AP15),NA())</f>
        <v>#N/A</v>
      </c>
      <c r="AR15" s="33" t="e">
        <f t="shared" si="2"/>
        <v>#N/A</v>
      </c>
      <c r="AT15" s="27"/>
      <c r="AU15" s="34" t="str">
        <f>IF(ISBLANK(AT15),"",SUMIFS(Table1[Amount $],Table1[Amount $],"&lt;"&amp;0,Table1[Merchant],Snapshot!AT15,Table1[Month],Snapshot!$W$4)*-1)</f>
        <v/>
      </c>
      <c r="AV15" s="27" t="str">
        <f>IF(ISBLANK(AT15),"",COUNTIFS(Table1[Merchant],Snapshot!AT15,Table1[Month],Snapshot!$W$4))</f>
        <v/>
      </c>
      <c r="AW15" s="27" t="str">
        <f>IFERROR(RANK(AV15,$AV$6:$AV$200)+COUNTIF($AV$6:AV15,AV15)-1,"")</f>
        <v/>
      </c>
      <c r="AX15" s="27" t="str">
        <f>IFERROR(RANK(AU15,$AU$6:$AU$200)+COUNTIF($AU$6:AU15,AU15)-1,"")</f>
        <v/>
      </c>
    </row>
    <row r="16" spans="1:50" ht="14.75" customHeight="1" x14ac:dyDescent="0.45">
      <c r="A16" s="24"/>
      <c r="C16" s="43"/>
      <c r="D16" s="63"/>
      <c r="E16" s="60"/>
      <c r="F16" s="60"/>
      <c r="G16" s="51"/>
      <c r="J16" s="45"/>
      <c r="L16" s="43"/>
      <c r="P16" s="64"/>
      <c r="Q16" s="47" t="str" cm="1">
        <f t="array" ref="Q16">INDEX($AG$6:$AG$11,MATCH(4,$AF$6:$AF$11,0),0)</f>
        <v/>
      </c>
      <c r="R16" s="48"/>
      <c r="S16" s="49" cm="1">
        <f t="array" ref="S16">INDEX($AH$6:$AH$11,MATCH(4,$AF$6:$AF$11,0),0)</f>
        <v>0</v>
      </c>
      <c r="T16" s="45"/>
      <c r="V16" s="40" t="str">
        <f t="shared" si="6"/>
        <v>--</v>
      </c>
      <c r="W16" s="40"/>
      <c r="X16" s="41"/>
      <c r="Y16" s="16"/>
      <c r="Z16" s="53"/>
      <c r="AA16" s="53"/>
      <c r="AB16" s="41"/>
      <c r="AC16" s="29" t="str">
        <f>IF(Categories!E17="Expense",Categories!D17,"--")</f>
        <v>Misc</v>
      </c>
      <c r="AD16" s="30">
        <f>SUMIFS(Table1[Amount $],Table1[Category],Snapshot!AC16,Table1[Amount $],"&lt;"&amp;0,Table1[Month],Snapshot!$W$4)*-1</f>
        <v>0</v>
      </c>
      <c r="AE16" s="27">
        <f>RANK(AD16,$AD$6:$AD$35,0)+COUNTIF(AD$6:$AD16,AD16)-1</f>
        <v>11</v>
      </c>
      <c r="AF16" s="27"/>
      <c r="AG16" s="27"/>
      <c r="AH16" s="27"/>
      <c r="AJ16" s="32">
        <f t="shared" si="3"/>
        <v>36536</v>
      </c>
      <c r="AK16" s="32" t="e">
        <f t="shared" si="4"/>
        <v>#N/A</v>
      </c>
      <c r="AL16" s="33">
        <f>SUMIFS(Table1[Amount $],Table1[Amount $],"&lt;"&amp;0,Table1[Category Type],"Expense",Table1[Date],Snapshot!AK16)*-1</f>
        <v>0</v>
      </c>
      <c r="AM16" s="33" t="e">
        <f ca="1">IF(AK16&gt;TODAY(),NA(),SUM(AL$6:$AL16))</f>
        <v>#N/A</v>
      </c>
      <c r="AN16" s="33" t="e">
        <f t="shared" ca="1" si="1"/>
        <v>#N/A</v>
      </c>
      <c r="AO16" s="32" t="e">
        <f t="shared" si="5"/>
        <v>#N/A</v>
      </c>
      <c r="AP16" s="33">
        <f>SUMIFS(Table1[Amount $],Table1[Amount $],"&lt;"&amp;0,Table1[Category Type],"Expense",Table1[Date],Snapshot!AO16)*-1</f>
        <v>0</v>
      </c>
      <c r="AQ16" s="33" t="e">
        <f>IF(AO16&lt;=EOMONTH($AO$6,0),SUM(AP$6:$AP16),NA())</f>
        <v>#N/A</v>
      </c>
      <c r="AR16" s="33" t="e">
        <f t="shared" si="2"/>
        <v>#N/A</v>
      </c>
      <c r="AT16" s="27"/>
      <c r="AU16" s="34" t="str">
        <f>IF(ISBLANK(AT16),"",SUMIFS(Table1[Amount $],Table1[Amount $],"&lt;"&amp;0,Table1[Merchant],Snapshot!AT16,Table1[Month],Snapshot!$W$4)*-1)</f>
        <v/>
      </c>
      <c r="AV16" s="27" t="str">
        <f>IF(ISBLANK(AT16),"",COUNTIFS(Table1[Merchant],Snapshot!AT16,Table1[Month],Snapshot!$W$4))</f>
        <v/>
      </c>
      <c r="AW16" s="27" t="str">
        <f>IFERROR(RANK(AV16,$AV$6:$AV$200)+COUNTIF($AV$6:AV16,AV16)-1,"")</f>
        <v/>
      </c>
      <c r="AX16" s="27" t="str">
        <f>IFERROR(RANK(AU16,$AU$6:$AU$200)+COUNTIF($AU$6:AU16,AU16)-1,"")</f>
        <v/>
      </c>
    </row>
    <row r="17" spans="1:50" ht="14.75" customHeight="1" x14ac:dyDescent="0.45">
      <c r="A17" s="24"/>
      <c r="C17" s="43"/>
      <c r="D17" s="63"/>
      <c r="E17" s="60"/>
      <c r="F17" s="60"/>
      <c r="G17" s="51"/>
      <c r="J17" s="45"/>
      <c r="L17" s="43"/>
      <c r="Q17" s="52"/>
      <c r="T17" s="45"/>
      <c r="U17" s="65"/>
      <c r="V17" s="40" t="str">
        <f t="shared" si="6"/>
        <v>--</v>
      </c>
      <c r="W17" s="40"/>
      <c r="X17" s="41"/>
      <c r="Y17" s="16"/>
      <c r="Z17" s="53"/>
      <c r="AA17" s="53"/>
      <c r="AB17" s="41"/>
      <c r="AC17" s="29" t="str">
        <f>IF(Categories!E18="Expense",Categories!D18,"--")</f>
        <v>Mortgage/Rent</v>
      </c>
      <c r="AD17" s="30">
        <f>SUMIFS(Table1[Amount $],Table1[Category],Snapshot!AC17,Table1[Amount $],"&lt;"&amp;0,Table1[Month],Snapshot!$W$4)*-1</f>
        <v>0</v>
      </c>
      <c r="AE17" s="27">
        <f>RANK(AD17,$AD$6:$AD$35,0)+COUNTIF(AD$6:$AD17,AD17)-1</f>
        <v>12</v>
      </c>
      <c r="AF17" s="27"/>
      <c r="AG17" s="27"/>
      <c r="AH17" s="27"/>
      <c r="AJ17" s="32">
        <f t="shared" si="3"/>
        <v>36537</v>
      </c>
      <c r="AK17" s="32" t="e">
        <f t="shared" si="4"/>
        <v>#N/A</v>
      </c>
      <c r="AL17" s="33">
        <f>SUMIFS(Table1[Amount $],Table1[Amount $],"&lt;"&amp;0,Table1[Category Type],"Expense",Table1[Date],Snapshot!AK17)*-1</f>
        <v>0</v>
      </c>
      <c r="AM17" s="33" t="e">
        <f ca="1">IF(AK17&gt;TODAY(),NA(),SUM(AL$6:$AL17))</f>
        <v>#N/A</v>
      </c>
      <c r="AN17" s="33" t="e">
        <f t="shared" ca="1" si="1"/>
        <v>#N/A</v>
      </c>
      <c r="AO17" s="32" t="e">
        <f t="shared" si="5"/>
        <v>#N/A</v>
      </c>
      <c r="AP17" s="33">
        <f>SUMIFS(Table1[Amount $],Table1[Amount $],"&lt;"&amp;0,Table1[Category Type],"Expense",Table1[Date],Snapshot!AO17)*-1</f>
        <v>0</v>
      </c>
      <c r="AQ17" s="33" t="e">
        <f>IF(AO17&lt;=EOMONTH($AO$6,0),SUM(AP$6:$AP17),NA())</f>
        <v>#N/A</v>
      </c>
      <c r="AR17" s="33" t="e">
        <f t="shared" si="2"/>
        <v>#N/A</v>
      </c>
      <c r="AT17" s="27"/>
      <c r="AU17" s="34" t="str">
        <f>IF(ISBLANK(AT17),"",SUMIFS(Table1[Amount $],Table1[Amount $],"&lt;"&amp;0,Table1[Merchant],Snapshot!AT17,Table1[Month],Snapshot!$W$4)*-1)</f>
        <v/>
      </c>
      <c r="AV17" s="27" t="str">
        <f>IF(ISBLANK(AT17),"",COUNTIFS(Table1[Merchant],Snapshot!AT17,Table1[Month],Snapshot!$W$4))</f>
        <v/>
      </c>
      <c r="AW17" s="27" t="str">
        <f>IFERROR(RANK(AV17,$AV$6:$AV$200)+COUNTIF($AV$6:AV17,AV17)-1,"")</f>
        <v/>
      </c>
      <c r="AX17" s="27" t="str">
        <f>IFERROR(RANK(AU17,$AU$6:$AU$200)+COUNTIF($AU$6:AU17,AU17)-1,"")</f>
        <v/>
      </c>
    </row>
    <row r="18" spans="1:50" ht="14.75" customHeight="1" x14ac:dyDescent="0.45">
      <c r="A18" s="24"/>
      <c r="C18" s="43"/>
      <c r="D18" s="59"/>
      <c r="E18" s="60"/>
      <c r="F18" s="60"/>
      <c r="G18" s="66"/>
      <c r="J18" s="45"/>
      <c r="L18" s="43"/>
      <c r="P18" s="67"/>
      <c r="Q18" s="47" t="str" cm="1">
        <f t="array" ref="Q18">INDEX($AG$6:$AG$11,MATCH(5,$AF$6:$AF$11,0),0)</f>
        <v/>
      </c>
      <c r="R18" s="48"/>
      <c r="S18" s="49" cm="1">
        <f t="array" ref="S18">INDEX($AH$6:$AH$11,MATCH(5,$AF$6:$AF$11,0),0)</f>
        <v>0</v>
      </c>
      <c r="T18" s="45"/>
      <c r="V18" s="40" t="str">
        <f t="shared" si="6"/>
        <v>--</v>
      </c>
      <c r="W18" s="40"/>
      <c r="X18" s="41"/>
      <c r="Y18" s="16"/>
      <c r="Z18" s="16"/>
      <c r="AA18" s="16"/>
      <c r="AB18" s="41"/>
      <c r="AC18" s="29" t="str">
        <f>IF(Categories!E19="Expense",Categories!D19,"--")</f>
        <v>Payment</v>
      </c>
      <c r="AD18" s="30">
        <f>SUMIFS(Table1[Amount $],Table1[Category],Snapshot!AC18,Table1[Amount $],"&lt;"&amp;0,Table1[Month],Snapshot!$W$4)*-1</f>
        <v>0</v>
      </c>
      <c r="AE18" s="27">
        <f>RANK(AD18,$AD$6:$AD$35,0)+COUNTIF(AD$6:$AD18,AD18)-1</f>
        <v>13</v>
      </c>
      <c r="AF18" s="27"/>
      <c r="AG18" s="27"/>
      <c r="AH18" s="27"/>
      <c r="AJ18" s="32">
        <f t="shared" si="3"/>
        <v>36538</v>
      </c>
      <c r="AK18" s="32" t="e">
        <f t="shared" si="4"/>
        <v>#N/A</v>
      </c>
      <c r="AL18" s="33">
        <f>SUMIFS(Table1[Amount $],Table1[Amount $],"&lt;"&amp;0,Table1[Category Type],"Expense",Table1[Date],Snapshot!AK18)*-1</f>
        <v>0</v>
      </c>
      <c r="AM18" s="33" t="e">
        <f ca="1">IF(AK18&gt;TODAY(),NA(),SUM(AL$6:$AL18))</f>
        <v>#N/A</v>
      </c>
      <c r="AN18" s="33" t="e">
        <f t="shared" ca="1" si="1"/>
        <v>#N/A</v>
      </c>
      <c r="AO18" s="32" t="e">
        <f t="shared" si="5"/>
        <v>#N/A</v>
      </c>
      <c r="AP18" s="33">
        <f>SUMIFS(Table1[Amount $],Table1[Amount $],"&lt;"&amp;0,Table1[Category Type],"Expense",Table1[Date],Snapshot!AO18)*-1</f>
        <v>0</v>
      </c>
      <c r="AQ18" s="33" t="e">
        <f>IF(AO18&lt;=EOMONTH($AO$6,0),SUM(AP$6:$AP18),NA())</f>
        <v>#N/A</v>
      </c>
      <c r="AR18" s="33" t="e">
        <f t="shared" si="2"/>
        <v>#N/A</v>
      </c>
      <c r="AT18" s="27"/>
      <c r="AU18" s="34" t="str">
        <f>IF(ISBLANK(AT18),"",SUMIFS(Table1[Amount $],Table1[Amount $],"&lt;"&amp;0,Table1[Merchant],Snapshot!AT18,Table1[Month],Snapshot!$W$4)*-1)</f>
        <v/>
      </c>
      <c r="AV18" s="27" t="str">
        <f>IF(ISBLANK(AT18),"",COUNTIFS(Table1[Merchant],Snapshot!AT18,Table1[Month],Snapshot!$W$4))</f>
        <v/>
      </c>
      <c r="AW18" s="27" t="str">
        <f>IFERROR(RANK(AV18,$AV$6:$AV$200)+COUNTIF($AV$6:AV18,AV18)-1,"")</f>
        <v/>
      </c>
      <c r="AX18" s="27" t="str">
        <f>IFERROR(RANK(AU18,$AU$6:$AU$200)+COUNTIF($AU$6:AU18,AU18)-1,"")</f>
        <v/>
      </c>
    </row>
    <row r="19" spans="1:50" ht="14.75" customHeight="1" x14ac:dyDescent="0.45">
      <c r="A19" s="24"/>
      <c r="C19" s="43"/>
      <c r="D19" s="63"/>
      <c r="E19" s="60"/>
      <c r="F19" s="60"/>
      <c r="G19" s="68"/>
      <c r="J19" s="45"/>
      <c r="L19" s="43"/>
      <c r="Q19" s="52"/>
      <c r="T19" s="45"/>
      <c r="U19" s="65"/>
      <c r="V19" s="40" t="str">
        <f t="shared" si="6"/>
        <v>--</v>
      </c>
      <c r="W19" s="40"/>
      <c r="X19" s="41"/>
      <c r="Y19" s="16"/>
      <c r="Z19" s="16"/>
      <c r="AA19" s="16"/>
      <c r="AB19" s="41"/>
      <c r="AC19" s="29" t="str">
        <f>IF(Categories!E20="Expense",Categories!D20,"--")</f>
        <v>Professional Services</v>
      </c>
      <c r="AD19" s="30">
        <f>SUMIFS(Table1[Amount $],Table1[Category],Snapshot!AC19,Table1[Amount $],"&lt;"&amp;0,Table1[Month],Snapshot!$W$4)*-1</f>
        <v>0</v>
      </c>
      <c r="AE19" s="27">
        <f>RANK(AD19,$AD$6:$AD$35,0)+COUNTIF(AD$6:$AD19,AD19)-1</f>
        <v>14</v>
      </c>
      <c r="AF19" s="27"/>
      <c r="AG19" s="27"/>
      <c r="AH19" s="27"/>
      <c r="AJ19" s="32">
        <f t="shared" si="3"/>
        <v>36539</v>
      </c>
      <c r="AK19" s="32" t="e">
        <f t="shared" si="4"/>
        <v>#N/A</v>
      </c>
      <c r="AL19" s="33">
        <f>SUMIFS(Table1[Amount $],Table1[Amount $],"&lt;"&amp;0,Table1[Category Type],"Expense",Table1[Date],Snapshot!AK19)*-1</f>
        <v>0</v>
      </c>
      <c r="AM19" s="33" t="e">
        <f ca="1">IF(AK19&gt;TODAY(),NA(),SUM(AL$6:$AL19))</f>
        <v>#N/A</v>
      </c>
      <c r="AN19" s="33" t="e">
        <f t="shared" ca="1" si="1"/>
        <v>#N/A</v>
      </c>
      <c r="AO19" s="32" t="e">
        <f t="shared" si="5"/>
        <v>#N/A</v>
      </c>
      <c r="AP19" s="33">
        <f>SUMIFS(Table1[Amount $],Table1[Amount $],"&lt;"&amp;0,Table1[Category Type],"Expense",Table1[Date],Snapshot!AO19)*-1</f>
        <v>0</v>
      </c>
      <c r="AQ19" s="33" t="e">
        <f>IF(AO19&lt;=EOMONTH($AO$6,0),SUM(AP$6:$AP19),NA())</f>
        <v>#N/A</v>
      </c>
      <c r="AR19" s="33" t="e">
        <f t="shared" si="2"/>
        <v>#N/A</v>
      </c>
      <c r="AT19" s="27"/>
      <c r="AU19" s="34" t="str">
        <f>IF(ISBLANK(AT19),"",SUMIFS(Table1[Amount $],Table1[Amount $],"&lt;"&amp;0,Table1[Merchant],Snapshot!AT19,Table1[Month],Snapshot!$W$4)*-1)</f>
        <v/>
      </c>
      <c r="AV19" s="27" t="str">
        <f>IF(ISBLANK(AT19),"",COUNTIFS(Table1[Merchant],Snapshot!AT19,Table1[Month],Snapshot!$W$4))</f>
        <v/>
      </c>
      <c r="AW19" s="27" t="str">
        <f>IFERROR(RANK(AV19,$AV$6:$AV$200)+COUNTIF($AV$6:AV19,AV19)-1,"")</f>
        <v/>
      </c>
      <c r="AX19" s="27" t="str">
        <f>IFERROR(RANK(AU19,$AU$6:$AU$200)+COUNTIF($AU$6:AU19,AU19)-1,"")</f>
        <v/>
      </c>
    </row>
    <row r="20" spans="1:50" ht="14.75" customHeight="1" x14ac:dyDescent="0.35">
      <c r="A20" s="24"/>
      <c r="C20" s="43"/>
      <c r="D20" s="16"/>
      <c r="E20" s="16"/>
      <c r="F20" s="16"/>
      <c r="G20" s="16"/>
      <c r="J20" s="45"/>
      <c r="L20" s="43"/>
      <c r="P20" s="69"/>
      <c r="Q20" s="47" t="str" cm="1">
        <f t="array" ref="Q20">INDEX($AG$6:$AG$11,MATCH(6,$AF$6:$AF$11,0),0)</f>
        <v/>
      </c>
      <c r="R20" s="48"/>
      <c r="S20" s="49" cm="1">
        <f t="array" ref="S20">INDEX($AH$6:$AH$11,MATCH(6,$AF$6:$AF$11,0),0)</f>
        <v>0</v>
      </c>
      <c r="T20" s="45"/>
      <c r="V20" s="40" t="str">
        <f t="shared" si="6"/>
        <v>--</v>
      </c>
      <c r="W20" s="40"/>
      <c r="X20" s="41"/>
      <c r="Y20" s="58"/>
      <c r="Z20" s="16"/>
      <c r="AA20" s="16"/>
      <c r="AB20" s="41"/>
      <c r="AC20" s="29" t="str">
        <f>IF(Categories!E21="Expense",Categories!D21,"--")</f>
        <v>Restaurants/Dining</v>
      </c>
      <c r="AD20" s="30">
        <f>SUMIFS(Table1[Amount $],Table1[Category],Snapshot!AC20,Table1[Amount $],"&lt;"&amp;0,Table1[Month],Snapshot!$W$4)*-1</f>
        <v>0</v>
      </c>
      <c r="AE20" s="27">
        <f>RANK(AD20,$AD$6:$AD$35,0)+COUNTIF(AD$6:$AD20,AD20)-1</f>
        <v>15</v>
      </c>
      <c r="AF20" s="27"/>
      <c r="AG20" s="27"/>
      <c r="AH20" s="27"/>
      <c r="AJ20" s="32">
        <f t="shared" si="3"/>
        <v>36540</v>
      </c>
      <c r="AK20" s="32" t="e">
        <f t="shared" si="4"/>
        <v>#N/A</v>
      </c>
      <c r="AL20" s="33">
        <f>SUMIFS(Table1[Amount $],Table1[Amount $],"&lt;"&amp;0,Table1[Category Type],"Expense",Table1[Date],Snapshot!AK20)*-1</f>
        <v>0</v>
      </c>
      <c r="AM20" s="33" t="e">
        <f ca="1">IF(AK20&gt;TODAY(),NA(),SUM(AL$6:$AL20))</f>
        <v>#N/A</v>
      </c>
      <c r="AN20" s="33" t="e">
        <f t="shared" ca="1" si="1"/>
        <v>#N/A</v>
      </c>
      <c r="AO20" s="32" t="e">
        <f t="shared" si="5"/>
        <v>#N/A</v>
      </c>
      <c r="AP20" s="33">
        <f>SUMIFS(Table1[Amount $],Table1[Amount $],"&lt;"&amp;0,Table1[Category Type],"Expense",Table1[Date],Snapshot!AO20)*-1</f>
        <v>0</v>
      </c>
      <c r="AQ20" s="33" t="e">
        <f>IF(AO20&lt;=EOMONTH($AO$6,0),SUM(AP$6:$AP20),NA())</f>
        <v>#N/A</v>
      </c>
      <c r="AR20" s="33" t="e">
        <f t="shared" si="2"/>
        <v>#N/A</v>
      </c>
      <c r="AT20" s="27"/>
      <c r="AU20" s="34" t="str">
        <f>IF(ISBLANK(AT20),"",SUMIFS(Table1[Amount $],Table1[Amount $],"&lt;"&amp;0,Table1[Merchant],Snapshot!AT20,Table1[Month],Snapshot!$W$4)*-1)</f>
        <v/>
      </c>
      <c r="AV20" s="27" t="str">
        <f>IF(ISBLANK(AT20),"",COUNTIFS(Table1[Merchant],Snapshot!AT20,Table1[Month],Snapshot!$W$4))</f>
        <v/>
      </c>
      <c r="AW20" s="27" t="str">
        <f>IFERROR(RANK(AV20,$AV$6:$AV$200)+COUNTIF($AV$6:AV20,AV20)-1,"")</f>
        <v/>
      </c>
      <c r="AX20" s="27" t="str">
        <f>IFERROR(RANK(AU20,$AU$6:$AU$200)+COUNTIF($AU$6:AU20,AU20)-1,"")</f>
        <v/>
      </c>
    </row>
    <row r="21" spans="1:50" ht="14.75" customHeight="1" x14ac:dyDescent="0.35">
      <c r="A21" s="24"/>
      <c r="C21" s="43"/>
      <c r="D21" s="59"/>
      <c r="E21" s="16"/>
      <c r="F21" s="16"/>
      <c r="G21" s="66"/>
      <c r="J21" s="45"/>
      <c r="L21" s="43"/>
      <c r="T21" s="45"/>
      <c r="V21" s="40" t="str">
        <f t="shared" si="6"/>
        <v>--</v>
      </c>
      <c r="W21" s="40"/>
      <c r="X21" s="41"/>
      <c r="Y21" s="41"/>
      <c r="Z21" s="53"/>
      <c r="AA21" s="53"/>
      <c r="AB21" s="41"/>
      <c r="AC21" s="29" t="str">
        <f>IF(Categories!E22="Expense",Categories!D22,"--")</f>
        <v>Shopping</v>
      </c>
      <c r="AD21" s="30">
        <f>SUMIFS(Table1[Amount $],Table1[Category],Snapshot!AC21,Table1[Amount $],"&lt;"&amp;0,Table1[Month],Snapshot!$W$4)*-1</f>
        <v>0</v>
      </c>
      <c r="AE21" s="27">
        <f>RANK(AD21,$AD$6:$AD$35,0)+COUNTIF(AD$6:$AD21,AD21)-1</f>
        <v>16</v>
      </c>
      <c r="AF21" s="27"/>
      <c r="AG21" s="27"/>
      <c r="AH21" s="27"/>
      <c r="AJ21" s="32">
        <f t="shared" si="3"/>
        <v>36541</v>
      </c>
      <c r="AK21" s="32" t="e">
        <f t="shared" si="4"/>
        <v>#N/A</v>
      </c>
      <c r="AL21" s="33">
        <f>SUMIFS(Table1[Amount $],Table1[Amount $],"&lt;"&amp;0,Table1[Category Type],"Expense",Table1[Date],Snapshot!AK21)*-1</f>
        <v>0</v>
      </c>
      <c r="AM21" s="33" t="e">
        <f ca="1">IF(AK21&gt;TODAY(),NA(),SUM(AL$6:$AL21))</f>
        <v>#N/A</v>
      </c>
      <c r="AN21" s="33" t="e">
        <f t="shared" ca="1" si="1"/>
        <v>#N/A</v>
      </c>
      <c r="AO21" s="32" t="e">
        <f t="shared" si="5"/>
        <v>#N/A</v>
      </c>
      <c r="AP21" s="33">
        <f>SUMIFS(Table1[Amount $],Table1[Amount $],"&lt;"&amp;0,Table1[Category Type],"Expense",Table1[Date],Snapshot!AO21)*-1</f>
        <v>0</v>
      </c>
      <c r="AQ21" s="33" t="e">
        <f>IF(AO21&lt;=EOMONTH($AO$6,0),SUM(AP$6:$AP21),NA())</f>
        <v>#N/A</v>
      </c>
      <c r="AR21" s="33" t="e">
        <f t="shared" si="2"/>
        <v>#N/A</v>
      </c>
      <c r="AT21" s="27"/>
      <c r="AU21" s="34" t="str">
        <f>IF(ISBLANK(AT21),"",SUMIFS(Table1[Amount $],Table1[Amount $],"&lt;"&amp;0,Table1[Merchant],Snapshot!AT21,Table1[Month],Snapshot!$W$4)*-1)</f>
        <v/>
      </c>
      <c r="AV21" s="27" t="str">
        <f>IF(ISBLANK(AT21),"",COUNTIFS(Table1[Merchant],Snapshot!AT21,Table1[Month],Snapshot!$W$4))</f>
        <v/>
      </c>
      <c r="AW21" s="27" t="str">
        <f>IFERROR(RANK(AV21,$AV$6:$AV$200)+COUNTIF($AV$6:AV21,AV21)-1,"")</f>
        <v/>
      </c>
      <c r="AX21" s="27" t="str">
        <f>IFERROR(RANK(AU21,$AU$6:$AU$200)+COUNTIF($AU$6:AU21,AU21)-1,"")</f>
        <v/>
      </c>
    </row>
    <row r="22" spans="1:50" ht="14.75" customHeight="1" x14ac:dyDescent="0.35">
      <c r="A22" s="24"/>
      <c r="C22" s="43"/>
      <c r="D22" s="16"/>
      <c r="E22" s="16"/>
      <c r="F22" s="16"/>
      <c r="G22" s="16"/>
      <c r="J22" s="45"/>
      <c r="L22" s="43"/>
      <c r="P22" s="70" t="s">
        <v>108</v>
      </c>
      <c r="Q22" s="70"/>
      <c r="R22" s="70"/>
      <c r="S22" s="71">
        <f>S10+S12+S14+S16+S18+S20</f>
        <v>0</v>
      </c>
      <c r="T22" s="45"/>
      <c r="V22" s="40" t="str">
        <f t="shared" si="6"/>
        <v>--</v>
      </c>
      <c r="W22" s="40"/>
      <c r="X22" s="41"/>
      <c r="Y22" s="41"/>
      <c r="Z22" s="53"/>
      <c r="AA22" s="53"/>
      <c r="AB22" s="41"/>
      <c r="AC22" s="29" t="str">
        <f>IF(Categories!E23="Expense",Categories!D23,"--")</f>
        <v>Travel</v>
      </c>
      <c r="AD22" s="30">
        <f>SUMIFS(Table1[Amount $],Table1[Category],Snapshot!AC22,Table1[Amount $],"&lt;"&amp;0,Table1[Month],Snapshot!$W$4)*-1</f>
        <v>0</v>
      </c>
      <c r="AE22" s="27">
        <f>RANK(AD22,$AD$6:$AD$35,0)+COUNTIF(AD$6:$AD22,AD22)-1</f>
        <v>17</v>
      </c>
      <c r="AF22" s="27"/>
      <c r="AG22" s="27"/>
      <c r="AH22" s="27"/>
      <c r="AJ22" s="32">
        <f t="shared" si="3"/>
        <v>36542</v>
      </c>
      <c r="AK22" s="32" t="e">
        <f t="shared" si="4"/>
        <v>#N/A</v>
      </c>
      <c r="AL22" s="33">
        <f>SUMIFS(Table1[Amount $],Table1[Amount $],"&lt;"&amp;0,Table1[Category Type],"Expense",Table1[Date],Snapshot!AK22)*-1</f>
        <v>0</v>
      </c>
      <c r="AM22" s="33" t="e">
        <f ca="1">IF(AK22&gt;TODAY(),NA(),SUM(AL$6:$AL22))</f>
        <v>#N/A</v>
      </c>
      <c r="AN22" s="33" t="e">
        <f t="shared" ca="1" si="1"/>
        <v>#N/A</v>
      </c>
      <c r="AO22" s="32" t="e">
        <f t="shared" si="5"/>
        <v>#N/A</v>
      </c>
      <c r="AP22" s="33">
        <f>SUMIFS(Table1[Amount $],Table1[Amount $],"&lt;"&amp;0,Table1[Category Type],"Expense",Table1[Date],Snapshot!AO22)*-1</f>
        <v>0</v>
      </c>
      <c r="AQ22" s="33" t="e">
        <f>IF(AO22&lt;=EOMONTH($AO$6,0),SUM(AP$6:$AP22),NA())</f>
        <v>#N/A</v>
      </c>
      <c r="AR22" s="33" t="e">
        <f t="shared" si="2"/>
        <v>#N/A</v>
      </c>
      <c r="AT22" s="27"/>
      <c r="AU22" s="34" t="str">
        <f>IF(ISBLANK(AT22),"",SUMIFS(Table1[Amount $],Table1[Amount $],"&lt;"&amp;0,Table1[Merchant],Snapshot!AT22,Table1[Month],Snapshot!$W$4)*-1)</f>
        <v/>
      </c>
      <c r="AV22" s="27" t="str">
        <f>IF(ISBLANK(AT22),"",COUNTIFS(Table1[Merchant],Snapshot!AT22,Table1[Month],Snapshot!$W$4))</f>
        <v/>
      </c>
      <c r="AW22" s="27" t="str">
        <f>IFERROR(RANK(AV22,$AV$6:$AV$200)+COUNTIF($AV$6:AV22,AV22)-1,"")</f>
        <v/>
      </c>
      <c r="AX22" s="27" t="str">
        <f>IFERROR(RANK(AU22,$AU$6:$AU$200)+COUNTIF($AU$6:AU22,AU22)-1,"")</f>
        <v/>
      </c>
    </row>
    <row r="23" spans="1:50" ht="14.75" customHeight="1" x14ac:dyDescent="0.35">
      <c r="A23" s="24"/>
      <c r="C23" s="43"/>
      <c r="J23" s="45"/>
      <c r="L23" s="43"/>
      <c r="M23" s="72"/>
      <c r="N23" s="16"/>
      <c r="T23" s="45"/>
      <c r="V23" s="40" t="str">
        <f t="shared" si="6"/>
        <v>--</v>
      </c>
      <c r="W23" s="40"/>
      <c r="X23" s="41"/>
      <c r="Y23" s="16"/>
      <c r="Z23" s="53"/>
      <c r="AA23" s="53"/>
      <c r="AB23" s="41"/>
      <c r="AC23" s="29" t="str">
        <f>IF(Categories!E24="Expense",Categories!D24,"--")</f>
        <v>Uncategorized</v>
      </c>
      <c r="AD23" s="30">
        <f>SUMIFS(Table1[Amount $],Table1[Category],Snapshot!AC23,Table1[Amount $],"&lt;"&amp;0,Table1[Month],Snapshot!$W$4)*-1</f>
        <v>0</v>
      </c>
      <c r="AE23" s="27">
        <f>RANK(AD23,$AD$6:$AD$35,0)+COUNTIF(AD$6:$AD23,AD23)-1</f>
        <v>18</v>
      </c>
      <c r="AF23" s="27"/>
      <c r="AG23" s="27"/>
      <c r="AH23" s="27"/>
      <c r="AJ23" s="32">
        <f t="shared" si="3"/>
        <v>36543</v>
      </c>
      <c r="AK23" s="32" t="e">
        <f t="shared" si="4"/>
        <v>#N/A</v>
      </c>
      <c r="AL23" s="33">
        <f>SUMIFS(Table1[Amount $],Table1[Amount $],"&lt;"&amp;0,Table1[Category Type],"Expense",Table1[Date],Snapshot!AK23)*-1</f>
        <v>0</v>
      </c>
      <c r="AM23" s="33" t="e">
        <f ca="1">IF(AK23&gt;TODAY(),NA(),SUM(AL$6:$AL23))</f>
        <v>#N/A</v>
      </c>
      <c r="AN23" s="33" t="e">
        <f t="shared" ca="1" si="1"/>
        <v>#N/A</v>
      </c>
      <c r="AO23" s="32" t="e">
        <f t="shared" si="5"/>
        <v>#N/A</v>
      </c>
      <c r="AP23" s="33">
        <f>SUMIFS(Table1[Amount $],Table1[Amount $],"&lt;"&amp;0,Table1[Category Type],"Expense",Table1[Date],Snapshot!AO23)*-1</f>
        <v>0</v>
      </c>
      <c r="AQ23" s="33" t="e">
        <f>IF(AO23&lt;=EOMONTH($AO$6,0),SUM(AP$6:$AP23),NA())</f>
        <v>#N/A</v>
      </c>
      <c r="AR23" s="33" t="e">
        <f t="shared" si="2"/>
        <v>#N/A</v>
      </c>
      <c r="AT23" s="27"/>
      <c r="AU23" s="34" t="str">
        <f>IF(ISBLANK(AT23),"",SUMIFS(Table1[Amount $],Table1[Amount $],"&lt;"&amp;0,Table1[Merchant],Snapshot!AT23,Table1[Month],Snapshot!$W$4)*-1)</f>
        <v/>
      </c>
      <c r="AV23" s="27" t="str">
        <f>IF(ISBLANK(AT23),"",COUNTIFS(Table1[Merchant],Snapshot!AT23,Table1[Month],Snapshot!$W$4))</f>
        <v/>
      </c>
      <c r="AW23" s="27" t="str">
        <f>IFERROR(RANK(AV23,$AV$6:$AV$200)+COUNTIF($AV$6:AV23,AV23)-1,"")</f>
        <v/>
      </c>
      <c r="AX23" s="27" t="str">
        <f>IFERROR(RANK(AU23,$AU$6:$AU$200)+COUNTIF($AU$6:AU23,AU23)-1,"")</f>
        <v/>
      </c>
    </row>
    <row r="24" spans="1:50" ht="14.75" customHeight="1" thickBot="1" x14ac:dyDescent="0.4">
      <c r="A24" s="24"/>
      <c r="C24" s="73"/>
      <c r="D24" s="74"/>
      <c r="E24" s="74"/>
      <c r="F24" s="74"/>
      <c r="G24" s="74"/>
      <c r="H24" s="74"/>
      <c r="I24" s="74"/>
      <c r="J24" s="75"/>
      <c r="L24" s="73"/>
      <c r="M24" s="74"/>
      <c r="N24" s="74"/>
      <c r="O24" s="74"/>
      <c r="P24" s="74"/>
      <c r="Q24" s="74"/>
      <c r="R24" s="74"/>
      <c r="S24" s="74"/>
      <c r="T24" s="75"/>
      <c r="V24" s="40" t="str">
        <f t="shared" si="6"/>
        <v>--</v>
      </c>
      <c r="W24" s="40"/>
      <c r="X24" s="41"/>
      <c r="Y24" s="16"/>
      <c r="Z24" s="16"/>
      <c r="AA24" s="16"/>
      <c r="AB24" s="41"/>
      <c r="AC24" s="29" t="str">
        <f>IF(Categories!E25="Expense",Categories!D25,"--")</f>
        <v>--</v>
      </c>
      <c r="AD24" s="30">
        <f>SUMIFS(Table1[Amount $],Table1[Category],Snapshot!AC24,Table1[Amount $],"&lt;"&amp;0,Table1[Month],Snapshot!$W$4)*-1</f>
        <v>0</v>
      </c>
      <c r="AE24" s="27">
        <f>RANK(AD24,$AD$6:$AD$35,0)+COUNTIF(AD$6:$AD24,AD24)-1</f>
        <v>19</v>
      </c>
      <c r="AF24" s="27"/>
      <c r="AG24" s="27"/>
      <c r="AH24" s="27"/>
      <c r="AJ24" s="32">
        <f t="shared" si="3"/>
        <v>36544</v>
      </c>
      <c r="AK24" s="32" t="e">
        <f t="shared" si="4"/>
        <v>#N/A</v>
      </c>
      <c r="AL24" s="33">
        <f>SUMIFS(Table1[Amount $],Table1[Amount $],"&lt;"&amp;0,Table1[Category Type],"Expense",Table1[Date],Snapshot!AK24)*-1</f>
        <v>0</v>
      </c>
      <c r="AM24" s="33" t="e">
        <f ca="1">IF(AK24&gt;TODAY(),NA(),SUM(AL$6:$AL24))</f>
        <v>#N/A</v>
      </c>
      <c r="AN24" s="33" t="e">
        <f t="shared" ca="1" si="1"/>
        <v>#N/A</v>
      </c>
      <c r="AO24" s="32" t="e">
        <f t="shared" si="5"/>
        <v>#N/A</v>
      </c>
      <c r="AP24" s="33">
        <f>SUMIFS(Table1[Amount $],Table1[Amount $],"&lt;"&amp;0,Table1[Category Type],"Expense",Table1[Date],Snapshot!AO24)*-1</f>
        <v>0</v>
      </c>
      <c r="AQ24" s="33" t="e">
        <f>IF(AO24&lt;=EOMONTH($AO$6,0),SUM(AP$6:$AP24),NA())</f>
        <v>#N/A</v>
      </c>
      <c r="AR24" s="33" t="e">
        <f t="shared" si="2"/>
        <v>#N/A</v>
      </c>
      <c r="AT24" s="27"/>
      <c r="AU24" s="34" t="str">
        <f>IF(ISBLANK(AT24),"",SUMIFS(Table1[Amount $],Table1[Amount $],"&lt;"&amp;0,Table1[Merchant],Snapshot!AT24,Table1[Month],Snapshot!$W$4)*-1)</f>
        <v/>
      </c>
      <c r="AV24" s="27" t="str">
        <f>IF(ISBLANK(AT24),"",COUNTIFS(Table1[Merchant],Snapshot!AT24,Table1[Month],Snapshot!$W$4))</f>
        <v/>
      </c>
      <c r="AW24" s="27" t="str">
        <f>IFERROR(RANK(AV24,$AV$6:$AV$200)+COUNTIF($AV$6:AV24,AV24)-1,"")</f>
        <v/>
      </c>
      <c r="AX24" s="27" t="str">
        <f>IFERROR(RANK(AU24,$AU$6:$AU$200)+COUNTIF($AU$6:AU24,AU24)-1,"")</f>
        <v/>
      </c>
    </row>
    <row r="25" spans="1:50" ht="14.75" customHeight="1" thickBot="1" x14ac:dyDescent="0.4">
      <c r="A25" s="24"/>
      <c r="V25" s="40" t="str">
        <f t="shared" si="6"/>
        <v>--</v>
      </c>
      <c r="W25" s="40"/>
      <c r="X25" s="41"/>
      <c r="Y25" s="16"/>
      <c r="Z25" s="16"/>
      <c r="AA25" s="16"/>
      <c r="AB25" s="41"/>
      <c r="AC25" s="29" t="str">
        <f>IF(Categories!E26="Expense",Categories!D26,"--")</f>
        <v>--</v>
      </c>
      <c r="AD25" s="30">
        <f>SUMIFS(Table1[Amount $],Table1[Category],Snapshot!AC25,Table1[Amount $],"&lt;"&amp;0,Table1[Month],Snapshot!$W$4)*-1</f>
        <v>0</v>
      </c>
      <c r="AE25" s="27">
        <f>RANK(AD25,$AD$6:$AD$35,0)+COUNTIF(AD$6:$AD25,AD25)-1</f>
        <v>20</v>
      </c>
      <c r="AF25" s="27"/>
      <c r="AG25" s="27"/>
      <c r="AH25" s="27"/>
      <c r="AJ25" s="32">
        <f t="shared" si="3"/>
        <v>36545</v>
      </c>
      <c r="AK25" s="32" t="e">
        <f t="shared" si="4"/>
        <v>#N/A</v>
      </c>
      <c r="AL25" s="33">
        <f>SUMIFS(Table1[Amount $],Table1[Amount $],"&lt;"&amp;0,Table1[Category Type],"Expense",Table1[Date],Snapshot!AK25)*-1</f>
        <v>0</v>
      </c>
      <c r="AM25" s="33" t="e">
        <f ca="1">IF(AK25&gt;TODAY(),NA(),SUM(AL$6:$AL25))</f>
        <v>#N/A</v>
      </c>
      <c r="AN25" s="33" t="e">
        <f t="shared" ca="1" si="1"/>
        <v>#N/A</v>
      </c>
      <c r="AO25" s="32" t="e">
        <f t="shared" si="5"/>
        <v>#N/A</v>
      </c>
      <c r="AP25" s="33">
        <f>SUMIFS(Table1[Amount $],Table1[Amount $],"&lt;"&amp;0,Table1[Category Type],"Expense",Table1[Date],Snapshot!AO25)*-1</f>
        <v>0</v>
      </c>
      <c r="AQ25" s="33" t="e">
        <f>IF(AO25&lt;=EOMONTH($AO$6,0),SUM(AP$6:$AP25),NA())</f>
        <v>#N/A</v>
      </c>
      <c r="AR25" s="33" t="e">
        <f t="shared" si="2"/>
        <v>#N/A</v>
      </c>
      <c r="AT25" s="27"/>
      <c r="AU25" s="34" t="str">
        <f>IF(ISBLANK(AT25),"",SUMIFS(Table1[Amount $],Table1[Amount $],"&lt;"&amp;0,Table1[Merchant],Snapshot!AT25,Table1[Month],Snapshot!$W$4)*-1)</f>
        <v/>
      </c>
      <c r="AV25" s="27" t="str">
        <f>IF(ISBLANK(AT25),"",COUNTIFS(Table1[Merchant],Snapshot!AT25,Table1[Month],Snapshot!$W$4))</f>
        <v/>
      </c>
      <c r="AW25" s="27" t="str">
        <f>IFERROR(RANK(AV25,$AV$6:$AV$200)+COUNTIF($AV$6:AV25,AV25)-1,"")</f>
        <v/>
      </c>
      <c r="AX25" s="27" t="str">
        <f>IFERROR(RANK(AU25,$AU$6:$AU$200)+COUNTIF($AU$6:AU25,AU25)-1,"")</f>
        <v/>
      </c>
    </row>
    <row r="26" spans="1:50" ht="14.75" customHeight="1" thickTop="1" thickBot="1" x14ac:dyDescent="0.4">
      <c r="A26" s="24"/>
      <c r="C26" s="76"/>
      <c r="D26" s="76"/>
      <c r="E26" s="77"/>
      <c r="F26" s="77"/>
      <c r="G26" s="77"/>
      <c r="H26" s="77"/>
      <c r="I26" s="78"/>
      <c r="J26" s="78"/>
      <c r="K26" s="78"/>
      <c r="L26" s="78"/>
      <c r="M26" s="78"/>
      <c r="N26" s="77"/>
      <c r="O26" s="77"/>
      <c r="P26" s="77"/>
      <c r="Q26" s="77"/>
      <c r="R26" s="77"/>
      <c r="S26" s="77"/>
      <c r="T26" s="77"/>
      <c r="V26" s="40" t="str">
        <f t="shared" si="6"/>
        <v>--</v>
      </c>
      <c r="W26" s="40"/>
      <c r="X26" s="41"/>
      <c r="Y26" s="16"/>
      <c r="Z26" s="16"/>
      <c r="AA26" s="16"/>
      <c r="AB26" s="41"/>
      <c r="AC26" s="29" t="str">
        <f>IF(Categories!E27="Expense",Categories!D27,"--")</f>
        <v>--</v>
      </c>
      <c r="AD26" s="30">
        <f>SUMIFS(Table1[Amount $],Table1[Category],Snapshot!AC26,Table1[Amount $],"&lt;"&amp;0,Table1[Month],Snapshot!$W$4)*-1</f>
        <v>0</v>
      </c>
      <c r="AE26" s="27">
        <f>RANK(AD26,$AD$6:$AD$35,0)+COUNTIF(AD$6:$AD26,AD26)-1</f>
        <v>21</v>
      </c>
      <c r="AF26" s="27"/>
      <c r="AG26" s="27"/>
      <c r="AH26" s="27"/>
      <c r="AJ26" s="32">
        <f t="shared" si="3"/>
        <v>36546</v>
      </c>
      <c r="AK26" s="32" t="e">
        <f t="shared" si="4"/>
        <v>#N/A</v>
      </c>
      <c r="AL26" s="33">
        <f>SUMIFS(Table1[Amount $],Table1[Amount $],"&lt;"&amp;0,Table1[Category Type],"Expense",Table1[Date],Snapshot!AK26)*-1</f>
        <v>0</v>
      </c>
      <c r="AM26" s="33" t="e">
        <f ca="1">IF(AK26&gt;TODAY(),NA(),SUM(AL$6:$AL26))</f>
        <v>#N/A</v>
      </c>
      <c r="AN26" s="33" t="e">
        <f t="shared" ca="1" si="1"/>
        <v>#N/A</v>
      </c>
      <c r="AO26" s="32" t="e">
        <f t="shared" si="5"/>
        <v>#N/A</v>
      </c>
      <c r="AP26" s="33">
        <f>SUMIFS(Table1[Amount $],Table1[Amount $],"&lt;"&amp;0,Table1[Category Type],"Expense",Table1[Date],Snapshot!AO26)*-1</f>
        <v>0</v>
      </c>
      <c r="AQ26" s="33" t="e">
        <f>IF(AO26&lt;=EOMONTH($AO$6,0),SUM(AP$6:$AP26),NA())</f>
        <v>#N/A</v>
      </c>
      <c r="AR26" s="33" t="e">
        <f t="shared" si="2"/>
        <v>#N/A</v>
      </c>
      <c r="AT26" s="27"/>
      <c r="AU26" s="34" t="str">
        <f>IF(ISBLANK(AT26),"",SUMIFS(Table1[Amount $],Table1[Amount $],"&lt;"&amp;0,Table1[Merchant],Snapshot!AT26,Table1[Month],Snapshot!$W$4)*-1)</f>
        <v/>
      </c>
      <c r="AV26" s="27" t="str">
        <f>IF(ISBLANK(AT26),"",COUNTIFS(Table1[Merchant],Snapshot!AT26,Table1[Month],Snapshot!$W$4))</f>
        <v/>
      </c>
      <c r="AW26" s="27" t="str">
        <f>IFERROR(RANK(AV26,$AV$6:$AV$200)+COUNTIF($AV$6:AV26,AV26)-1,"")</f>
        <v/>
      </c>
      <c r="AX26" s="27" t="str">
        <f>IFERROR(RANK(AU26,$AU$6:$AU$200)+COUNTIF($AU$6:AU26,AU26)-1,"")</f>
        <v/>
      </c>
    </row>
    <row r="27" spans="1:50" ht="20" customHeight="1" x14ac:dyDescent="0.45">
      <c r="A27" s="24"/>
      <c r="C27" s="35"/>
      <c r="D27" s="36" t="s">
        <v>61</v>
      </c>
      <c r="E27" s="79"/>
      <c r="F27" s="79"/>
      <c r="G27" s="79"/>
      <c r="H27" s="79"/>
      <c r="I27" s="79"/>
      <c r="J27" s="79"/>
      <c r="K27" s="37"/>
      <c r="L27" s="37"/>
      <c r="M27" s="37"/>
      <c r="N27" s="37"/>
      <c r="O27" s="37"/>
      <c r="P27" s="37"/>
      <c r="Q27" s="37"/>
      <c r="R27" s="37"/>
      <c r="S27" s="37"/>
      <c r="T27" s="39"/>
      <c r="V27" s="40" t="str">
        <f t="shared" si="6"/>
        <v>--</v>
      </c>
      <c r="W27" s="40"/>
      <c r="X27" s="41"/>
      <c r="Y27" s="16"/>
      <c r="Z27" s="16"/>
      <c r="AA27" s="16"/>
      <c r="AB27" s="41"/>
      <c r="AC27" s="29" t="str">
        <f>IF(Categories!E28="Expense",Categories!D28,"--")</f>
        <v>--</v>
      </c>
      <c r="AD27" s="30">
        <f>SUMIFS(Table1[Amount $],Table1[Category],Snapshot!AC27,Table1[Amount $],"&lt;"&amp;0,Table1[Month],Snapshot!$W$4)*-1</f>
        <v>0</v>
      </c>
      <c r="AE27" s="27">
        <f>RANK(AD27,$AD$6:$AD$35,0)+COUNTIF(AD$6:$AD27,AD27)-1</f>
        <v>22</v>
      </c>
      <c r="AF27" s="27"/>
      <c r="AG27" s="27"/>
      <c r="AH27" s="27"/>
      <c r="AJ27" s="32">
        <f t="shared" si="3"/>
        <v>36547</v>
      </c>
      <c r="AK27" s="32" t="e">
        <f t="shared" si="4"/>
        <v>#N/A</v>
      </c>
      <c r="AL27" s="33">
        <f>SUMIFS(Table1[Amount $],Table1[Amount $],"&lt;"&amp;0,Table1[Category Type],"Expense",Table1[Date],Snapshot!AK27)*-1</f>
        <v>0</v>
      </c>
      <c r="AM27" s="33" t="e">
        <f ca="1">IF(AK27&gt;TODAY(),NA(),SUM(AL$6:$AL27))</f>
        <v>#N/A</v>
      </c>
      <c r="AN27" s="33" t="e">
        <f t="shared" ca="1" si="1"/>
        <v>#N/A</v>
      </c>
      <c r="AO27" s="32" t="e">
        <f t="shared" si="5"/>
        <v>#N/A</v>
      </c>
      <c r="AP27" s="33">
        <f>SUMIFS(Table1[Amount $],Table1[Amount $],"&lt;"&amp;0,Table1[Category Type],"Expense",Table1[Date],Snapshot!AO27)*-1</f>
        <v>0</v>
      </c>
      <c r="AQ27" s="33" t="e">
        <f>IF(AO27&lt;=EOMONTH($AO$6,0),SUM(AP$6:$AP27),NA())</f>
        <v>#N/A</v>
      </c>
      <c r="AR27" s="33" t="e">
        <f t="shared" si="2"/>
        <v>#N/A</v>
      </c>
      <c r="AT27" s="27"/>
      <c r="AU27" s="34" t="str">
        <f>IF(ISBLANK(AT27),"",SUMIFS(Table1[Amount $],Table1[Amount $],"&lt;"&amp;0,Table1[Merchant],Snapshot!AT27,Table1[Month],Snapshot!$W$4)*-1)</f>
        <v/>
      </c>
      <c r="AV27" s="27" t="str">
        <f>IF(ISBLANK(AT27),"",COUNTIFS(Table1[Merchant],Snapshot!AT27,Table1[Month],Snapshot!$W$4))</f>
        <v/>
      </c>
      <c r="AW27" s="27" t="str">
        <f>IFERROR(RANK(AV27,$AV$6:$AV$200)+COUNTIF($AV$6:AV27,AV27)-1,"")</f>
        <v/>
      </c>
      <c r="AX27" s="27" t="str">
        <f>IFERROR(RANK(AU27,$AU$6:$AU$200)+COUNTIF($AU$6:AU27,AU27)-1,"")</f>
        <v/>
      </c>
    </row>
    <row r="28" spans="1:50" ht="14.75" customHeight="1" x14ac:dyDescent="0.35">
      <c r="A28" s="24"/>
      <c r="C28" s="43"/>
      <c r="D28" s="44" t="str">
        <f ca="1">IFERROR(IF(AND(MONTH(W4)=MONTH(TODAY()),YEAR(W4)=YEAR(TODAY())),AK39,AK42),"")</f>
        <v/>
      </c>
      <c r="T28" s="45"/>
      <c r="V28" s="40" t="str">
        <f t="shared" si="6"/>
        <v>--</v>
      </c>
      <c r="W28" s="40"/>
      <c r="X28" s="41"/>
      <c r="Y28" s="16"/>
      <c r="Z28" s="16"/>
      <c r="AA28" s="16"/>
      <c r="AB28" s="41"/>
      <c r="AC28" s="29" t="str">
        <f>IF(Categories!E29="Expense",Categories!D29,"--")</f>
        <v>--</v>
      </c>
      <c r="AD28" s="30">
        <f>SUMIFS(Table1[Amount $],Table1[Category],Snapshot!AC28,Table1[Amount $],"&lt;"&amp;0,Table1[Month],Snapshot!$W$4)*-1</f>
        <v>0</v>
      </c>
      <c r="AE28" s="27">
        <f>RANK(AD28,$AD$6:$AD$35,0)+COUNTIF(AD$6:$AD28,AD28)-1</f>
        <v>23</v>
      </c>
      <c r="AF28" s="27"/>
      <c r="AG28" s="27"/>
      <c r="AH28" s="27"/>
      <c r="AJ28" s="32">
        <f t="shared" si="3"/>
        <v>36548</v>
      </c>
      <c r="AK28" s="32" t="e">
        <f t="shared" si="4"/>
        <v>#N/A</v>
      </c>
      <c r="AL28" s="33">
        <f>SUMIFS(Table1[Amount $],Table1[Amount $],"&lt;"&amp;0,Table1[Category Type],"Expense",Table1[Date],Snapshot!AK28)*-1</f>
        <v>0</v>
      </c>
      <c r="AM28" s="33" t="e">
        <f ca="1">IF(AK28&gt;TODAY(),NA(),SUM(AL$6:$AL28))</f>
        <v>#N/A</v>
      </c>
      <c r="AN28" s="33" t="e">
        <f t="shared" ca="1" si="1"/>
        <v>#N/A</v>
      </c>
      <c r="AO28" s="32" t="e">
        <f t="shared" si="5"/>
        <v>#N/A</v>
      </c>
      <c r="AP28" s="33">
        <f>SUMIFS(Table1[Amount $],Table1[Amount $],"&lt;"&amp;0,Table1[Category Type],"Expense",Table1[Date],Snapshot!AO28)*-1</f>
        <v>0</v>
      </c>
      <c r="AQ28" s="33" t="e">
        <f>IF(AO28&lt;=EOMONTH($AO$6,0),SUM(AP$6:$AP28),NA())</f>
        <v>#N/A</v>
      </c>
      <c r="AR28" s="33" t="e">
        <f t="shared" si="2"/>
        <v>#N/A</v>
      </c>
      <c r="AT28" s="27"/>
      <c r="AU28" s="34" t="str">
        <f>IF(ISBLANK(AT28),"",SUMIFS(Table1[Amount $],Table1[Amount $],"&lt;"&amp;0,Table1[Merchant],Snapshot!AT28,Table1[Month],Snapshot!$W$4)*-1)</f>
        <v/>
      </c>
      <c r="AV28" s="27" t="str">
        <f>IF(ISBLANK(AT28),"",COUNTIFS(Table1[Merchant],Snapshot!AT28,Table1[Month],Snapshot!$W$4))</f>
        <v/>
      </c>
      <c r="AW28" s="27" t="str">
        <f>IFERROR(RANK(AV28,$AV$6:$AV$200)+COUNTIF($AV$6:AV28,AV28)-1,"")</f>
        <v/>
      </c>
      <c r="AX28" s="27" t="str">
        <f>IFERROR(RANK(AU28,$AU$6:$AU$200)+COUNTIF($AU$6:AU28,AU28)-1,"")</f>
        <v/>
      </c>
    </row>
    <row r="29" spans="1:50" ht="14.75" customHeight="1" x14ac:dyDescent="0.35">
      <c r="A29" s="24"/>
      <c r="C29" s="43"/>
      <c r="T29" s="45"/>
      <c r="V29" s="40" t="str">
        <f t="shared" si="6"/>
        <v>--</v>
      </c>
      <c r="W29" s="40"/>
      <c r="X29" s="41"/>
      <c r="Y29" s="16"/>
      <c r="Z29" s="16"/>
      <c r="AA29" s="16"/>
      <c r="AB29" s="41"/>
      <c r="AC29" s="29" t="str">
        <f>IF(Categories!E30="Expense",Categories!D30,"--")</f>
        <v>--</v>
      </c>
      <c r="AD29" s="30">
        <f>SUMIFS(Table1[Amount $],Table1[Category],Snapshot!AC29,Table1[Amount $],"&lt;"&amp;0,Table1[Month],Snapshot!$W$4)*-1</f>
        <v>0</v>
      </c>
      <c r="AE29" s="27">
        <f>RANK(AD29,$AD$6:$AD$35,0)+COUNTIF(AD$6:$AD29,AD29)-1</f>
        <v>24</v>
      </c>
      <c r="AF29" s="27"/>
      <c r="AG29" s="27"/>
      <c r="AH29" s="27"/>
      <c r="AJ29" s="32">
        <f t="shared" si="3"/>
        <v>36549</v>
      </c>
      <c r="AK29" s="32" t="e">
        <f t="shared" si="4"/>
        <v>#N/A</v>
      </c>
      <c r="AL29" s="33">
        <f>SUMIFS(Table1[Amount $],Table1[Amount $],"&lt;"&amp;0,Table1[Category Type],"Expense",Table1[Date],Snapshot!AK29)*-1</f>
        <v>0</v>
      </c>
      <c r="AM29" s="33" t="e">
        <f ca="1">IF(AK29&gt;TODAY(),NA(),SUM(AL$6:$AL29))</f>
        <v>#N/A</v>
      </c>
      <c r="AN29" s="33" t="e">
        <f t="shared" ca="1" si="1"/>
        <v>#N/A</v>
      </c>
      <c r="AO29" s="32" t="e">
        <f t="shared" si="5"/>
        <v>#N/A</v>
      </c>
      <c r="AP29" s="33">
        <f>SUMIFS(Table1[Amount $],Table1[Amount $],"&lt;"&amp;0,Table1[Category Type],"Expense",Table1[Date],Snapshot!AO29)*-1</f>
        <v>0</v>
      </c>
      <c r="AQ29" s="33" t="e">
        <f>IF(AO29&lt;=EOMONTH($AO$6,0),SUM(AP$6:$AP29),NA())</f>
        <v>#N/A</v>
      </c>
      <c r="AR29" s="33" t="e">
        <f t="shared" si="2"/>
        <v>#N/A</v>
      </c>
      <c r="AT29" s="27"/>
      <c r="AU29" s="34" t="str">
        <f>IF(ISBLANK(AT29),"",SUMIFS(Table1[Amount $],Table1[Amount $],"&lt;"&amp;0,Table1[Merchant],Snapshot!AT29,Table1[Month],Snapshot!$W$4)*-1)</f>
        <v/>
      </c>
      <c r="AV29" s="27" t="str">
        <f>IF(ISBLANK(AT29),"",COUNTIFS(Table1[Merchant],Snapshot!AT29,Table1[Month],Snapshot!$W$4))</f>
        <v/>
      </c>
      <c r="AW29" s="27" t="str">
        <f>IFERROR(RANK(AV29,$AV$6:$AV$200)+COUNTIF($AV$6:AV29,AV29)-1,"")</f>
        <v/>
      </c>
      <c r="AX29" s="27" t="str">
        <f>IFERROR(RANK(AU29,$AU$6:$AU$200)+COUNTIF($AU$6:AU29,AU29)-1,"")</f>
        <v/>
      </c>
    </row>
    <row r="30" spans="1:50" ht="14.75" customHeight="1" x14ac:dyDescent="0.35">
      <c r="A30" s="24"/>
      <c r="C30" s="43"/>
      <c r="D30" s="80"/>
      <c r="E30" s="80"/>
      <c r="F30" s="81"/>
      <c r="T30" s="45"/>
      <c r="V30" s="40" t="str">
        <f t="shared" si="6"/>
        <v>--</v>
      </c>
      <c r="W30" s="40"/>
      <c r="X30" s="41"/>
      <c r="Y30" s="16"/>
      <c r="Z30" s="16"/>
      <c r="AA30" s="16"/>
      <c r="AB30" s="41"/>
      <c r="AC30" s="29" t="str">
        <f>IF(Categories!E31="Expense",Categories!D31,"--")</f>
        <v>--</v>
      </c>
      <c r="AD30" s="30">
        <f>SUMIFS(Table1[Amount $],Table1[Category],Snapshot!AC30,Table1[Amount $],"&lt;"&amp;0,Table1[Month],Snapshot!$W$4)*-1</f>
        <v>0</v>
      </c>
      <c r="AE30" s="27">
        <f>RANK(AD30,$AD$6:$AD$35,0)+COUNTIF(AD$6:$AD30,AD30)-1</f>
        <v>25</v>
      </c>
      <c r="AF30" s="27"/>
      <c r="AG30" s="27"/>
      <c r="AH30" s="27"/>
      <c r="AJ30" s="32">
        <f t="shared" si="3"/>
        <v>36550</v>
      </c>
      <c r="AK30" s="32" t="e">
        <f t="shared" si="4"/>
        <v>#N/A</v>
      </c>
      <c r="AL30" s="33">
        <f>SUMIFS(Table1[Amount $],Table1[Amount $],"&lt;"&amp;0,Table1[Category Type],"Expense",Table1[Date],Snapshot!AK30)*-1</f>
        <v>0</v>
      </c>
      <c r="AM30" s="33" t="e">
        <f ca="1">IF(AK30&gt;TODAY(),NA(),SUM(AL$6:$AL30))</f>
        <v>#N/A</v>
      </c>
      <c r="AN30" s="33" t="e">
        <f t="shared" ca="1" si="1"/>
        <v>#N/A</v>
      </c>
      <c r="AO30" s="32" t="e">
        <f t="shared" si="5"/>
        <v>#N/A</v>
      </c>
      <c r="AP30" s="33">
        <f>SUMIFS(Table1[Amount $],Table1[Amount $],"&lt;"&amp;0,Table1[Category Type],"Expense",Table1[Date],Snapshot!AO30)*-1</f>
        <v>0</v>
      </c>
      <c r="AQ30" s="33" t="e">
        <f>IF(AO30&lt;=EOMONTH($AO$6,0),SUM(AP$6:$AP30),NA())</f>
        <v>#N/A</v>
      </c>
      <c r="AR30" s="33" t="e">
        <f t="shared" si="2"/>
        <v>#N/A</v>
      </c>
      <c r="AT30" s="27"/>
      <c r="AU30" s="34" t="str">
        <f>IF(ISBLANK(AT30),"",SUMIFS(Table1[Amount $],Table1[Amount $],"&lt;"&amp;0,Table1[Merchant],Snapshot!AT30,Table1[Month],Snapshot!$W$4)*-1)</f>
        <v/>
      </c>
      <c r="AV30" s="27" t="str">
        <f>IF(ISBLANK(AT30),"",COUNTIFS(Table1[Merchant],Snapshot!AT30,Table1[Month],Snapshot!$W$4))</f>
        <v/>
      </c>
      <c r="AW30" s="27" t="str">
        <f>IFERROR(RANK(AV30,$AV$6:$AV$200)+COUNTIF($AV$6:AV30,AV30)-1,"")</f>
        <v/>
      </c>
      <c r="AX30" s="27" t="str">
        <f>IFERROR(RANK(AU30,$AU$6:$AU$200)+COUNTIF($AU$6:AU30,AU30)-1,"")</f>
        <v/>
      </c>
    </row>
    <row r="31" spans="1:50" ht="14.75" customHeight="1" x14ac:dyDescent="0.35">
      <c r="A31" s="24"/>
      <c r="C31" s="43"/>
      <c r="T31" s="45"/>
      <c r="V31" s="40" t="str">
        <f t="shared" si="6"/>
        <v>--</v>
      </c>
      <c r="W31" s="40"/>
      <c r="X31" s="41"/>
      <c r="Y31" s="16"/>
      <c r="Z31" s="16"/>
      <c r="AA31" s="16"/>
      <c r="AB31" s="41"/>
      <c r="AC31" s="29" t="str">
        <f>IF(Categories!E32="Expense",Categories!D32,"--")</f>
        <v>--</v>
      </c>
      <c r="AD31" s="30">
        <f>SUMIFS(Table1[Amount $],Table1[Category],Snapshot!AC31,Table1[Amount $],"&lt;"&amp;0,Table1[Month],Snapshot!$W$4)*-1</f>
        <v>0</v>
      </c>
      <c r="AE31" s="27">
        <f>RANK(AD31,$AD$6:$AD$35,0)+COUNTIF(AD$6:$AD31,AD31)-1</f>
        <v>26</v>
      </c>
      <c r="AF31" s="27"/>
      <c r="AG31" s="27"/>
      <c r="AH31" s="27"/>
      <c r="AJ31" s="32">
        <f t="shared" si="3"/>
        <v>36551</v>
      </c>
      <c r="AK31" s="32" t="e">
        <f t="shared" si="4"/>
        <v>#N/A</v>
      </c>
      <c r="AL31" s="33">
        <f>SUMIFS(Table1[Amount $],Table1[Amount $],"&lt;"&amp;0,Table1[Category Type],"Expense",Table1[Date],Snapshot!AK31)*-1</f>
        <v>0</v>
      </c>
      <c r="AM31" s="33" t="e">
        <f ca="1">IF(AK31&gt;TODAY(),NA(),SUM(AL$6:$AL31))</f>
        <v>#N/A</v>
      </c>
      <c r="AN31" s="33" t="e">
        <f t="shared" ca="1" si="1"/>
        <v>#N/A</v>
      </c>
      <c r="AO31" s="32" t="e">
        <f t="shared" si="5"/>
        <v>#N/A</v>
      </c>
      <c r="AP31" s="33">
        <f>SUMIFS(Table1[Amount $],Table1[Amount $],"&lt;"&amp;0,Table1[Category Type],"Expense",Table1[Date],Snapshot!AO31)*-1</f>
        <v>0</v>
      </c>
      <c r="AQ31" s="33" t="e">
        <f>IF(AO31&lt;=EOMONTH($AO$6,0),SUM(AP$6:$AP31),NA())</f>
        <v>#N/A</v>
      </c>
      <c r="AR31" s="33" t="e">
        <f t="shared" si="2"/>
        <v>#N/A</v>
      </c>
      <c r="AT31" s="27"/>
      <c r="AU31" s="34" t="str">
        <f>IF(ISBLANK(AT31),"",SUMIFS(Table1[Amount $],Table1[Amount $],"&lt;"&amp;0,Table1[Merchant],Snapshot!AT31,Table1[Month],Snapshot!$W$4)*-1)</f>
        <v/>
      </c>
      <c r="AV31" s="27" t="str">
        <f>IF(ISBLANK(AT31),"",COUNTIFS(Table1[Merchant],Snapshot!AT31,Table1[Month],Snapshot!$W$4))</f>
        <v/>
      </c>
      <c r="AW31" s="27" t="str">
        <f>IFERROR(RANK(AV31,$AV$6:$AV$200)+COUNTIF($AV$6:AV31,AV31)-1,"")</f>
        <v/>
      </c>
      <c r="AX31" s="27" t="str">
        <f>IFERROR(RANK(AU31,$AU$6:$AU$200)+COUNTIF($AU$6:AU31,AU31)-1,"")</f>
        <v/>
      </c>
    </row>
    <row r="32" spans="1:50" ht="14.75" customHeight="1" x14ac:dyDescent="0.35">
      <c r="A32" s="24"/>
      <c r="C32" s="43"/>
      <c r="T32" s="45"/>
      <c r="V32" s="40" t="str">
        <f t="shared" si="6"/>
        <v>--</v>
      </c>
      <c r="W32" s="40"/>
      <c r="X32" s="41"/>
      <c r="Y32" s="16"/>
      <c r="Z32" s="16"/>
      <c r="AA32" s="16"/>
      <c r="AB32" s="41"/>
      <c r="AC32" s="29" t="str">
        <f>IF(Categories!E33="Expense",Categories!D33,"--")</f>
        <v>--</v>
      </c>
      <c r="AD32" s="30">
        <f>SUMIFS(Table1[Amount $],Table1[Category],Snapshot!AC32,Table1[Amount $],"&lt;"&amp;0,Table1[Month],Snapshot!$W$4)*-1</f>
        <v>0</v>
      </c>
      <c r="AE32" s="27">
        <f>RANK(AD32,$AD$6:$AD$35,0)+COUNTIF(AD$6:$AD32,AD32)-1</f>
        <v>27</v>
      </c>
      <c r="AF32" s="27"/>
      <c r="AG32" s="27"/>
      <c r="AH32" s="27"/>
      <c r="AJ32" s="32">
        <f t="shared" si="3"/>
        <v>36552</v>
      </c>
      <c r="AK32" s="32" t="e">
        <f t="shared" si="4"/>
        <v>#N/A</v>
      </c>
      <c r="AL32" s="33">
        <f>SUMIFS(Table1[Amount $],Table1[Amount $],"&lt;"&amp;0,Table1[Category Type],"Expense",Table1[Date],Snapshot!AK32)*-1</f>
        <v>0</v>
      </c>
      <c r="AM32" s="33" t="e">
        <f ca="1">IF(AK32&gt;TODAY(),NA(),SUM(AL$6:$AL32))</f>
        <v>#N/A</v>
      </c>
      <c r="AN32" s="33" t="e">
        <f t="shared" ca="1" si="1"/>
        <v>#N/A</v>
      </c>
      <c r="AO32" s="32" t="e">
        <f t="shared" si="5"/>
        <v>#N/A</v>
      </c>
      <c r="AP32" s="33">
        <f>SUMIFS(Table1[Amount $],Table1[Amount $],"&lt;"&amp;0,Table1[Category Type],"Expense",Table1[Date],Snapshot!AO32)*-1</f>
        <v>0</v>
      </c>
      <c r="AQ32" s="33" t="e">
        <f>IF(AO32&lt;=EOMONTH($AO$6,0),SUM(AP$6:$AP32),NA())</f>
        <v>#N/A</v>
      </c>
      <c r="AR32" s="33" t="e">
        <f t="shared" si="2"/>
        <v>#N/A</v>
      </c>
      <c r="AT32" s="27"/>
      <c r="AU32" s="34" t="str">
        <f>IF(ISBLANK(AT32),"",SUMIFS(Table1[Amount $],Table1[Amount $],"&lt;"&amp;0,Table1[Merchant],Snapshot!AT32,Table1[Month],Snapshot!$W$4)*-1)</f>
        <v/>
      </c>
      <c r="AV32" s="27" t="str">
        <f>IF(ISBLANK(AT32),"",COUNTIFS(Table1[Merchant],Snapshot!AT32,Table1[Month],Snapshot!$W$4))</f>
        <v/>
      </c>
      <c r="AW32" s="27" t="str">
        <f>IFERROR(RANK(AV32,$AV$6:$AV$200)+COUNTIF($AV$6:AV32,AV32)-1,"")</f>
        <v/>
      </c>
      <c r="AX32" s="27" t="str">
        <f>IFERROR(RANK(AU32,$AU$6:$AU$200)+COUNTIF($AU$6:AU32,AU32)-1,"")</f>
        <v/>
      </c>
    </row>
    <row r="33" spans="2:50" ht="14.75" customHeight="1" x14ac:dyDescent="0.35">
      <c r="C33" s="43"/>
      <c r="T33" s="45"/>
      <c r="V33" s="40" t="str">
        <f t="shared" si="6"/>
        <v>--</v>
      </c>
      <c r="W33" s="40"/>
      <c r="X33" s="41"/>
      <c r="Y33" s="16"/>
      <c r="Z33" s="16"/>
      <c r="AA33" s="16"/>
      <c r="AB33" s="41"/>
      <c r="AC33" s="29" t="str">
        <f>IF(Categories!E34="Expense",Categories!D34,"--")</f>
        <v>--</v>
      </c>
      <c r="AD33" s="30">
        <f>SUMIFS(Table1[Amount $],Table1[Category],Snapshot!AC33,Table1[Amount $],"&lt;"&amp;0,Table1[Month],Snapshot!$W$4)*-1</f>
        <v>0</v>
      </c>
      <c r="AE33" s="27">
        <f>RANK(AD33,$AD$6:$AD$35,0)+COUNTIF(AD$6:$AD33,AD33)-1</f>
        <v>28</v>
      </c>
      <c r="AF33" s="27"/>
      <c r="AG33" s="27"/>
      <c r="AH33" s="27"/>
      <c r="AJ33" s="32">
        <f t="shared" si="3"/>
        <v>36553</v>
      </c>
      <c r="AK33" s="32" t="e">
        <f t="shared" si="4"/>
        <v>#N/A</v>
      </c>
      <c r="AL33" s="33">
        <f>SUMIFS(Table1[Amount $],Table1[Amount $],"&lt;"&amp;0,Table1[Category Type],"Expense",Table1[Date],Snapshot!AK33)*-1</f>
        <v>0</v>
      </c>
      <c r="AM33" s="33" t="e">
        <f ca="1">IF(AK33&gt;TODAY(),NA(),SUM(AL$6:$AL33))</f>
        <v>#N/A</v>
      </c>
      <c r="AN33" s="33" t="e">
        <f t="shared" ca="1" si="1"/>
        <v>#N/A</v>
      </c>
      <c r="AO33" s="32" t="e">
        <f t="shared" si="5"/>
        <v>#N/A</v>
      </c>
      <c r="AP33" s="33">
        <f>SUMIFS(Table1[Amount $],Table1[Amount $],"&lt;"&amp;0,Table1[Category Type],"Expense",Table1[Date],Snapshot!AO33)*-1</f>
        <v>0</v>
      </c>
      <c r="AQ33" s="33" t="e">
        <f>IF(AO33&lt;=EOMONTH($AO$6,0),SUM(AP$6:$AP33),NA())</f>
        <v>#N/A</v>
      </c>
      <c r="AR33" s="33" t="e">
        <f t="shared" si="2"/>
        <v>#N/A</v>
      </c>
      <c r="AT33" s="27"/>
      <c r="AU33" s="34" t="str">
        <f>IF(ISBLANK(AT33),"",SUMIFS(Table1[Amount $],Table1[Amount $],"&lt;"&amp;0,Table1[Merchant],Snapshot!AT33,Table1[Month],Snapshot!$W$4)*-1)</f>
        <v/>
      </c>
      <c r="AV33" s="27" t="str">
        <f>IF(ISBLANK(AT33),"",COUNTIFS(Table1[Merchant],Snapshot!AT33,Table1[Month],Snapshot!$W$4))</f>
        <v/>
      </c>
      <c r="AW33" s="27" t="str">
        <f>IFERROR(RANK(AV33,$AV$6:$AV$200)+COUNTIF($AV$6:AV33,AV33)-1,"")</f>
        <v/>
      </c>
      <c r="AX33" s="27" t="str">
        <f>IFERROR(RANK(AU33,$AU$6:$AU$200)+COUNTIF($AU$6:AU33,AU33)-1,"")</f>
        <v/>
      </c>
    </row>
    <row r="34" spans="2:50" ht="14.75" customHeight="1" x14ac:dyDescent="0.35">
      <c r="C34" s="43"/>
      <c r="T34" s="45"/>
      <c r="V34" s="40" t="str">
        <f t="shared" si="6"/>
        <v>--</v>
      </c>
      <c r="W34" s="40"/>
      <c r="X34" s="41"/>
      <c r="Y34" s="16"/>
      <c r="Z34" s="16"/>
      <c r="AA34" s="16"/>
      <c r="AB34" s="41"/>
      <c r="AC34" s="29" t="str">
        <f>IF(Categories!E35="Expense",Categories!D35,"--")</f>
        <v>--</v>
      </c>
      <c r="AD34" s="30">
        <f>SUMIFS(Table1[Amount $],Table1[Category],Snapshot!AC34,Table1[Amount $],"&lt;"&amp;0,Table1[Month],Snapshot!$W$4)*-1</f>
        <v>0</v>
      </c>
      <c r="AE34" s="27">
        <f>RANK(AD34,$AD$6:$AD$35,0)+COUNTIF(AD$6:$AD34,AD34)-1</f>
        <v>29</v>
      </c>
      <c r="AF34" s="27"/>
      <c r="AG34" s="27"/>
      <c r="AH34" s="27"/>
      <c r="AJ34" s="32">
        <f t="shared" si="3"/>
        <v>36554</v>
      </c>
      <c r="AK34" s="32" t="e">
        <f t="shared" si="4"/>
        <v>#N/A</v>
      </c>
      <c r="AL34" s="33">
        <f>SUMIFS(Table1[Amount $],Table1[Amount $],"&lt;"&amp;0,Table1[Category Type],"Expense",Table1[Date],Snapshot!AK34)*-1</f>
        <v>0</v>
      </c>
      <c r="AM34" s="33" t="e">
        <f ca="1">IF(AK34&gt;TODAY(),NA(),SUM(AL$6:$AL34))</f>
        <v>#N/A</v>
      </c>
      <c r="AN34" s="33" t="e">
        <f t="shared" ca="1" si="1"/>
        <v>#N/A</v>
      </c>
      <c r="AO34" s="32" t="e">
        <f t="shared" si="5"/>
        <v>#N/A</v>
      </c>
      <c r="AP34" s="33">
        <f>SUMIFS(Table1[Amount $],Table1[Amount $],"&lt;"&amp;0,Table1[Category Type],"Expense",Table1[Date],Snapshot!AO34)*-1</f>
        <v>0</v>
      </c>
      <c r="AQ34" s="33" t="e">
        <f>IF(AO34&lt;=EOMONTH($AO$6,0),SUM(AP$6:$AP34),NA())</f>
        <v>#N/A</v>
      </c>
      <c r="AR34" s="33" t="e">
        <f t="shared" si="2"/>
        <v>#N/A</v>
      </c>
      <c r="AT34" s="27"/>
      <c r="AU34" s="34" t="str">
        <f>IF(ISBLANK(AT34),"",SUMIFS(Table1[Amount $],Table1[Amount $],"&lt;"&amp;0,Table1[Merchant],Snapshot!AT34,Table1[Month],Snapshot!$W$4)*-1)</f>
        <v/>
      </c>
      <c r="AV34" s="27" t="str">
        <f>IF(ISBLANK(AT34),"",COUNTIFS(Table1[Merchant],Snapshot!AT34,Table1[Month],Snapshot!$W$4))</f>
        <v/>
      </c>
      <c r="AW34" s="27" t="str">
        <f>IFERROR(RANK(AV34,$AV$6:$AV$200)+COUNTIF($AV$6:AV34,AV34)-1,"")</f>
        <v/>
      </c>
      <c r="AX34" s="27" t="str">
        <f>IFERROR(RANK(AU34,$AU$6:$AU$200)+COUNTIF($AU$6:AU34,AU34)-1,"")</f>
        <v/>
      </c>
    </row>
    <row r="35" spans="2:50" ht="14.75" customHeight="1" x14ac:dyDescent="0.35">
      <c r="C35" s="43"/>
      <c r="T35" s="45"/>
      <c r="V35" s="40" t="str">
        <f t="shared" si="6"/>
        <v>--</v>
      </c>
      <c r="W35" s="40"/>
      <c r="X35" s="41"/>
      <c r="Y35" s="16"/>
      <c r="Z35" s="16"/>
      <c r="AA35" s="16"/>
      <c r="AB35" s="41"/>
      <c r="AC35" s="29" t="str">
        <f>IF(Categories!E36="Expense",Categories!D36,"--")</f>
        <v>--</v>
      </c>
      <c r="AD35" s="30">
        <f>SUMIFS(Table1[Amount $],Table1[Category],Snapshot!AC35,Table1[Amount $],"&lt;"&amp;0,Table1[Month],Snapshot!$W$4)*-1</f>
        <v>0</v>
      </c>
      <c r="AE35" s="27">
        <f>RANK(AD35,$AD$6:$AD$35,0)+COUNTIF(AD$6:$AD35,AD35)-1</f>
        <v>30</v>
      </c>
      <c r="AF35" s="27"/>
      <c r="AG35" s="27"/>
      <c r="AH35" s="27"/>
      <c r="AJ35" s="32">
        <f t="shared" si="3"/>
        <v>36555</v>
      </c>
      <c r="AK35" s="32" t="e">
        <f t="shared" si="4"/>
        <v>#N/A</v>
      </c>
      <c r="AL35" s="33">
        <f>SUMIFS(Table1[Amount $],Table1[Amount $],"&lt;"&amp;0,Table1[Category Type],"Expense",Table1[Date],Snapshot!AK35)*-1</f>
        <v>0</v>
      </c>
      <c r="AM35" s="33" t="e">
        <f ca="1">IF(AK35&gt;TODAY(),NA(),SUM(AL$6:$AL35))</f>
        <v>#N/A</v>
      </c>
      <c r="AN35" s="33" t="e">
        <f t="shared" ca="1" si="1"/>
        <v>#N/A</v>
      </c>
      <c r="AO35" s="32" t="e">
        <f t="shared" si="5"/>
        <v>#N/A</v>
      </c>
      <c r="AP35" s="33">
        <f>SUMIFS(Table1[Amount $],Table1[Amount $],"&lt;"&amp;0,Table1[Category Type],"Expense",Table1[Date],Snapshot!AO35)*-1</f>
        <v>0</v>
      </c>
      <c r="AQ35" s="33" t="e">
        <f>IF(AO35&lt;=EOMONTH($AO$6,0),SUM(AP$6:$AP35),NA())</f>
        <v>#N/A</v>
      </c>
      <c r="AR35" s="33" t="e">
        <f t="shared" si="2"/>
        <v>#N/A</v>
      </c>
      <c r="AT35" s="27"/>
      <c r="AU35" s="34" t="str">
        <f>IF(ISBLANK(AT35),"",SUMIFS(Table1[Amount $],Table1[Amount $],"&lt;"&amp;0,Table1[Merchant],Snapshot!AT35,Table1[Month],Snapshot!$W$4)*-1)</f>
        <v/>
      </c>
      <c r="AV35" s="27" t="str">
        <f>IF(ISBLANK(AT35),"",COUNTIFS(Table1[Merchant],Snapshot!AT35,Table1[Month],Snapshot!$W$4))</f>
        <v/>
      </c>
      <c r="AW35" s="27" t="str">
        <f>IFERROR(RANK(AV35,$AV$6:$AV$200)+COUNTIF($AV$6:AV35,AV35)-1,"")</f>
        <v/>
      </c>
      <c r="AX35" s="27" t="str">
        <f>IFERROR(RANK(AU35,$AU$6:$AU$200)+COUNTIF($AU$6:AU35,AU35)-1,"")</f>
        <v/>
      </c>
    </row>
    <row r="36" spans="2:50" ht="14.75" customHeight="1" x14ac:dyDescent="0.35">
      <c r="C36" s="43"/>
      <c r="T36" s="45"/>
      <c r="V36" s="40" t="str">
        <f t="shared" si="6"/>
        <v>--</v>
      </c>
      <c r="W36" s="40"/>
      <c r="X36" s="41"/>
      <c r="Y36" s="16"/>
      <c r="Z36" s="16"/>
      <c r="AA36" s="16"/>
      <c r="AB36" s="41"/>
      <c r="AC36" s="16"/>
      <c r="AD36" s="16"/>
      <c r="AE36" s="16"/>
      <c r="AF36" s="16"/>
      <c r="AG36" s="16"/>
      <c r="AH36" s="16"/>
      <c r="AJ36" s="32">
        <f t="shared" si="3"/>
        <v>36556</v>
      </c>
      <c r="AK36" s="32" t="e">
        <f t="shared" si="4"/>
        <v>#N/A</v>
      </c>
      <c r="AL36" s="33">
        <f>SUMIFS(Table1[Amount $],Table1[Amount $],"&lt;"&amp;0,Table1[Category Type],"Expense",Table1[Date],Snapshot!AK36)*-1</f>
        <v>0</v>
      </c>
      <c r="AM36" s="33" t="e">
        <f ca="1">IF(AK36&gt;TODAY(),NA(),SUM(AL$6:$AL36))</f>
        <v>#N/A</v>
      </c>
      <c r="AN36" s="33" t="e">
        <f t="shared" ca="1" si="1"/>
        <v>#N/A</v>
      </c>
      <c r="AO36" s="32" t="e">
        <f t="shared" si="5"/>
        <v>#N/A</v>
      </c>
      <c r="AP36" s="33">
        <f>SUMIFS(Table1[Amount $],Table1[Amount $],"&lt;"&amp;0,Table1[Category Type],"Expense",Table1[Date],Snapshot!AO36)*-1</f>
        <v>0</v>
      </c>
      <c r="AQ36" s="33" t="e">
        <f>IF(AO36&lt;=EOMONTH($AO$6,0),SUM(AP$6:$AP36),NA())</f>
        <v>#N/A</v>
      </c>
      <c r="AR36" s="33" t="e">
        <f t="shared" si="2"/>
        <v>#N/A</v>
      </c>
      <c r="AT36" s="27"/>
      <c r="AU36" s="34" t="str">
        <f>IF(ISBLANK(AT36),"",SUMIFS(Table1[Amount $],Table1[Amount $],"&lt;"&amp;0,Table1[Merchant],Snapshot!AT36,Table1[Month],Snapshot!$W$4)*-1)</f>
        <v/>
      </c>
      <c r="AV36" s="27" t="str">
        <f>IF(ISBLANK(AT36),"",COUNTIFS(Table1[Merchant],Snapshot!AT36,Table1[Month],Snapshot!$W$4))</f>
        <v/>
      </c>
      <c r="AW36" s="27" t="str">
        <f>IFERROR(RANK(AV36,$AV$6:$AV$200)+COUNTIF($AV$6:AV36,AV36)-1,"")</f>
        <v/>
      </c>
      <c r="AX36" s="27" t="str">
        <f>IFERROR(RANK(AU36,$AU$6:$AU$200)+COUNTIF($AU$6:AU36,AU36)-1,"")</f>
        <v/>
      </c>
    </row>
    <row r="37" spans="2:50" ht="14.75" customHeight="1" x14ac:dyDescent="0.35">
      <c r="C37" s="43"/>
      <c r="T37" s="45"/>
      <c r="V37" s="40" t="str">
        <f t="shared" si="6"/>
        <v>--</v>
      </c>
      <c r="W37" s="40"/>
      <c r="X37" s="41"/>
      <c r="AB37" s="41"/>
      <c r="AJ37" s="27"/>
      <c r="AK37" s="27"/>
      <c r="AL37" s="27"/>
      <c r="AM37" s="27"/>
      <c r="AN37" s="27"/>
      <c r="AO37" s="27"/>
      <c r="AP37" s="27"/>
      <c r="AQ37" s="27"/>
      <c r="AR37" s="27"/>
      <c r="AT37" s="27"/>
      <c r="AU37" s="34" t="str">
        <f>IF(ISBLANK(AT37),"",SUMIFS(Table1[Amount $],Table1[Amount $],"&lt;"&amp;0,Table1[Merchant],Snapshot!AT37,Table1[Month],Snapshot!$W$4)*-1)</f>
        <v/>
      </c>
      <c r="AV37" s="27" t="str">
        <f>IF(ISBLANK(AT37),"",COUNTIFS(Table1[Merchant],Snapshot!AT37,Table1[Month],Snapshot!$W$4))</f>
        <v/>
      </c>
      <c r="AW37" s="27" t="str">
        <f>IFERROR(RANK(AV37,$AV$6:$AV$200)+COUNTIF($AV$6:AV37,AV37)-1,"")</f>
        <v/>
      </c>
      <c r="AX37" s="27" t="str">
        <f>IFERROR(RANK(AU37,$AU$6:$AU$200)+COUNTIF($AU$6:AU37,AU37)-1,"")</f>
        <v/>
      </c>
    </row>
    <row r="38" spans="2:50" ht="14.75" customHeight="1" x14ac:dyDescent="0.35">
      <c r="C38" s="43"/>
      <c r="T38" s="45"/>
      <c r="V38" s="40" t="str">
        <f t="shared" si="6"/>
        <v>--</v>
      </c>
      <c r="W38" s="40"/>
      <c r="X38" s="41"/>
      <c r="AB38" s="41"/>
      <c r="AJ38" s="27"/>
      <c r="AK38" s="32">
        <f ca="1">TODAY()</f>
        <v>44069</v>
      </c>
      <c r="AL38" s="27"/>
      <c r="AM38" s="30" t="e" cm="1">
        <f t="array" aca="1" ref="AM38" ca="1">INDEX(AM6:AM36,MATCH(AK38,AK6:AK36,0),0)</f>
        <v>#N/A</v>
      </c>
      <c r="AN38" s="30"/>
      <c r="AO38" s="32">
        <f ca="1">DATE(YEAR(AK38),MONTH(AK38)-1,DAY(AK38))</f>
        <v>44038</v>
      </c>
      <c r="AP38" s="27"/>
      <c r="AQ38" s="30" t="e" cm="1">
        <f t="array" aca="1" ref="AQ38" ca="1">INDEX(AQ6:AQ36,MATCH(AO38,AO6:AO36,0),0)</f>
        <v>#N/A</v>
      </c>
      <c r="AR38" s="30"/>
      <c r="AT38" s="27"/>
      <c r="AU38" s="34" t="str">
        <f>IF(ISBLANK(AT38),"",SUMIFS(Table1[Amount $],Table1[Amount $],"&lt;"&amp;0,Table1[Merchant],Snapshot!AT38,Table1[Month],Snapshot!$W$4)*-1)</f>
        <v/>
      </c>
      <c r="AV38" s="27" t="str">
        <f>IF(ISBLANK(AT38),"",COUNTIFS(Table1[Merchant],Snapshot!AT38,Table1[Month],Snapshot!$W$4))</f>
        <v/>
      </c>
      <c r="AW38" s="27" t="str">
        <f>IFERROR(RANK(AV38,$AV$6:$AV$200)+COUNTIF($AV$6:AV38,AV38)-1,"")</f>
        <v/>
      </c>
      <c r="AX38" s="27" t="str">
        <f>IFERROR(RANK(AU38,$AU$6:$AU$200)+COUNTIF($AU$6:AU38,AU38)-1,"")</f>
        <v/>
      </c>
    </row>
    <row r="39" spans="2:50" ht="14.75" customHeight="1" x14ac:dyDescent="0.35">
      <c r="C39" s="43"/>
      <c r="T39" s="45"/>
      <c r="V39" s="40" t="str">
        <f t="shared" si="6"/>
        <v>--</v>
      </c>
      <c r="W39" s="40"/>
      <c r="X39" s="41"/>
      <c r="AB39" s="41"/>
      <c r="AJ39" s="27"/>
      <c r="AK39" s="32" t="e">
        <f ca="1">IF(AM38&gt;AQ38,"Spent "&amp;TEXT(AM38-AQ38,"$#,##0")&amp;" more","Spent "&amp;TEXT((AM38-AQ38)*-1,"$#,##0")&amp;" less")&amp;" than this time last month"</f>
        <v>#N/A</v>
      </c>
      <c r="AL39" s="27"/>
      <c r="AM39" s="27"/>
      <c r="AN39" s="27"/>
      <c r="AO39" s="27"/>
      <c r="AP39" s="27"/>
      <c r="AQ39" s="27"/>
      <c r="AR39" s="27"/>
      <c r="AT39" s="27"/>
      <c r="AU39" s="34" t="str">
        <f>IF(ISBLANK(AT39),"",SUMIFS(Table1[Amount $],Table1[Amount $],"&lt;"&amp;0,Table1[Merchant],Snapshot!AT39,Table1[Month],Snapshot!$W$4)*-1)</f>
        <v/>
      </c>
      <c r="AV39" s="27" t="str">
        <f>IF(ISBLANK(AT39),"",COUNTIFS(Table1[Merchant],Snapshot!AT39,Table1[Month],Snapshot!$W$4))</f>
        <v/>
      </c>
      <c r="AW39" s="27" t="str">
        <f>IFERROR(RANK(AV39,$AV$6:$AV$200)+COUNTIF($AV$6:AV39,AV39)-1,"")</f>
        <v/>
      </c>
      <c r="AX39" s="27" t="str">
        <f>IFERROR(RANK(AU39,$AU$6:$AU$200)+COUNTIF($AU$6:AU39,AU39)-1,"")</f>
        <v/>
      </c>
    </row>
    <row r="40" spans="2:50" ht="14.75" customHeight="1" x14ac:dyDescent="0.35">
      <c r="C40" s="43"/>
      <c r="T40" s="45"/>
      <c r="V40" s="40" t="str">
        <f t="shared" si="6"/>
        <v>--</v>
      </c>
      <c r="W40" s="40"/>
      <c r="X40" s="41"/>
      <c r="AB40" s="41"/>
      <c r="AJ40" s="27"/>
      <c r="AK40" s="32"/>
      <c r="AL40" s="27"/>
      <c r="AM40" s="27"/>
      <c r="AN40" s="27"/>
      <c r="AO40" s="27"/>
      <c r="AP40" s="27"/>
      <c r="AQ40" s="27"/>
      <c r="AR40" s="27"/>
      <c r="AT40" s="27"/>
      <c r="AU40" s="34" t="str">
        <f>IF(ISBLANK(AT40),"",SUMIFS(Table1[Amount $],Table1[Amount $],"&lt;"&amp;0,Table1[Merchant],Snapshot!AT40,Table1[Month],Snapshot!$W$4)*-1)</f>
        <v/>
      </c>
      <c r="AV40" s="27" t="str">
        <f>IF(ISBLANK(AT40),"",COUNTIFS(Table1[Merchant],Snapshot!AT40,Table1[Month],Snapshot!$W$4))</f>
        <v/>
      </c>
      <c r="AW40" s="27" t="str">
        <f>IFERROR(RANK(AV40,$AV$6:$AV$200)+COUNTIF($AV$6:AV40,AV40)-1,"")</f>
        <v/>
      </c>
      <c r="AX40" s="27" t="str">
        <f>IFERROR(RANK(AU40,$AU$6:$AU$200)+COUNTIF($AU$6:AU40,AU40)-1,"")</f>
        <v/>
      </c>
    </row>
    <row r="41" spans="2:50" ht="14.75" customHeight="1" x14ac:dyDescent="0.35">
      <c r="C41" s="43"/>
      <c r="T41" s="45"/>
      <c r="V41" s="40" t="str">
        <f t="shared" si="6"/>
        <v>--</v>
      </c>
      <c r="W41" s="40"/>
      <c r="AJ41" s="27"/>
      <c r="AK41" s="32" t="e">
        <f>IFERROR(MAX(AK6:AK36),IFERROR(AK35,IF(AK34,AK33)))</f>
        <v>#N/A</v>
      </c>
      <c r="AL41" s="27"/>
      <c r="AM41" s="30" t="e" cm="1">
        <f t="array" ref="AM41">INDEX(AM6:AM36,MATCH(AK41,AK6:AK36,0),0)</f>
        <v>#N/A</v>
      </c>
      <c r="AN41" s="30"/>
      <c r="AO41" s="32" t="e">
        <f>IFERROR(MAX(AO6:AO36),IFERROR(AO35,IF(AO34,AO33)))</f>
        <v>#N/A</v>
      </c>
      <c r="AP41" s="27"/>
      <c r="AQ41" s="30" t="e" cm="1">
        <f t="array" ref="AQ41">INDEX(AQ6:AQ36,MATCH(AO41,AO6:AO36,0),0)</f>
        <v>#N/A</v>
      </c>
      <c r="AR41" s="30"/>
      <c r="AT41" s="27"/>
      <c r="AU41" s="34" t="str">
        <f>IF(ISBLANK(AT41),"",SUMIFS(Table1[Amount $],Table1[Amount $],"&lt;"&amp;0,Table1[Merchant],Snapshot!AT41,Table1[Month],Snapshot!$W$4)*-1)</f>
        <v/>
      </c>
      <c r="AV41" s="27" t="str">
        <f>IF(ISBLANK(AT41),"",COUNTIFS(Table1[Merchant],Snapshot!AT41,Table1[Month],Snapshot!$W$4))</f>
        <v/>
      </c>
      <c r="AW41" s="27" t="str">
        <f>IFERROR(RANK(AV41,$AV$6:$AV$200)+COUNTIF($AV$6:AV41,AV41)-1,"")</f>
        <v/>
      </c>
      <c r="AX41" s="27" t="str">
        <f>IFERROR(RANK(AU41,$AU$6:$AU$200)+COUNTIF($AU$6:AU41,AU41)-1,"")</f>
        <v/>
      </c>
    </row>
    <row r="42" spans="2:50" ht="14.75" customHeight="1" thickBot="1" x14ac:dyDescent="0.4">
      <c r="C42" s="73"/>
      <c r="D42" s="82"/>
      <c r="E42" s="83"/>
      <c r="F42" s="74"/>
      <c r="G42" s="74"/>
      <c r="H42" s="74"/>
      <c r="I42" s="74"/>
      <c r="J42" s="74"/>
      <c r="K42" s="74"/>
      <c r="L42" s="74"/>
      <c r="M42" s="74"/>
      <c r="N42" s="83"/>
      <c r="O42" s="74"/>
      <c r="P42" s="74"/>
      <c r="Q42" s="74"/>
      <c r="R42" s="74"/>
      <c r="S42" s="74"/>
      <c r="T42" s="75"/>
      <c r="V42" s="40" t="str">
        <f t="shared" si="6"/>
        <v>--</v>
      </c>
      <c r="W42" s="40"/>
      <c r="AJ42" s="27"/>
      <c r="AK42" s="32" t="e">
        <f>"Compared to "&amp;TEXT(AO6,"mmmm")&amp;", you "&amp;IF(AM41&gt;AQ41,"spent "&amp;TEXT(AM41-AQ41,"$#,##0")&amp;" more","spent "&amp;TEXT((AM41-AQ41)*-1,"$#,##0")&amp;" less")</f>
        <v>#N/A</v>
      </c>
      <c r="AL42" s="27"/>
      <c r="AM42" s="27"/>
      <c r="AN42" s="27"/>
      <c r="AO42" s="27"/>
      <c r="AP42" s="27"/>
      <c r="AQ42" s="27"/>
      <c r="AR42" s="27"/>
      <c r="AT42" s="27"/>
      <c r="AU42" s="34" t="str">
        <f>IF(ISBLANK(AT42),"",SUMIFS(Table1[Amount $],Table1[Amount $],"&lt;"&amp;0,Table1[Merchant],Snapshot!AT42,Table1[Month],Snapshot!$W$4)*-1)</f>
        <v/>
      </c>
      <c r="AV42" s="27" t="str">
        <f>IF(ISBLANK(AT42),"",COUNTIFS(Table1[Merchant],Snapshot!AT42,Table1[Month],Snapshot!$W$4))</f>
        <v/>
      </c>
      <c r="AW42" s="27" t="str">
        <f>IFERROR(RANK(AV42,$AV$6:$AV$200)+COUNTIF($AV$6:AV42,AV42)-1,"")</f>
        <v/>
      </c>
      <c r="AX42" s="27" t="str">
        <f>IFERROR(RANK(AU42,$AU$6:$AU$200)+COUNTIF($AU$6:AU42,AU42)-1,"")</f>
        <v/>
      </c>
    </row>
    <row r="43" spans="2:50" ht="14.75" customHeight="1" thickBot="1" x14ac:dyDescent="0.4">
      <c r="V43" s="40" t="str">
        <f t="shared" si="6"/>
        <v>--</v>
      </c>
      <c r="W43" s="40"/>
      <c r="AK43" s="14"/>
      <c r="AM43" s="16"/>
      <c r="AN43" s="16"/>
      <c r="AO43" s="16"/>
      <c r="AP43" s="16"/>
      <c r="AT43" s="27"/>
      <c r="AU43" s="34" t="str">
        <f>IF(ISBLANK(AT43),"",SUMIFS(Table1[Amount $],Table1[Amount $],"&lt;"&amp;0,Table1[Merchant],Snapshot!AT43,Table1[Month],Snapshot!$W$4)*-1)</f>
        <v/>
      </c>
      <c r="AV43" s="27" t="str">
        <f>IF(ISBLANK(AT43),"",COUNTIFS(Table1[Merchant],Snapshot!AT43,Table1[Month],Snapshot!$W$4))</f>
        <v/>
      </c>
      <c r="AW43" s="27" t="str">
        <f>IFERROR(RANK(AV43,$AV$6:$AV$200)+COUNTIF($AV$6:AV43,AV43)-1,"")</f>
        <v/>
      </c>
      <c r="AX43" s="27" t="str">
        <f>IFERROR(RANK(AU43,$AU$6:$AU$200)+COUNTIF($AU$6:AU43,AU43)-1,"")</f>
        <v/>
      </c>
    </row>
    <row r="44" spans="2:50" ht="20" customHeight="1" x14ac:dyDescent="0.45">
      <c r="C44" s="35"/>
      <c r="D44" s="84" t="s">
        <v>62</v>
      </c>
      <c r="E44" s="38"/>
      <c r="F44" s="38"/>
      <c r="G44" s="38"/>
      <c r="H44" s="38"/>
      <c r="I44" s="38"/>
      <c r="J44" s="85"/>
      <c r="L44" s="35"/>
      <c r="M44" s="84" t="s">
        <v>63</v>
      </c>
      <c r="N44" s="38"/>
      <c r="O44" s="38"/>
      <c r="P44" s="38"/>
      <c r="Q44" s="38"/>
      <c r="R44" s="38"/>
      <c r="S44" s="38"/>
      <c r="T44" s="85"/>
      <c r="V44" s="40" t="str">
        <f t="shared" si="6"/>
        <v>--</v>
      </c>
      <c r="W44" s="40"/>
      <c r="AK44" s="14"/>
      <c r="AM44" s="16"/>
      <c r="AN44" s="16"/>
      <c r="AO44" s="16"/>
      <c r="AP44" s="16"/>
      <c r="AT44" s="27"/>
      <c r="AU44" s="34" t="str">
        <f>IF(ISBLANK(AT44),"",SUMIFS(Table1[Amount $],Table1[Amount $],"&lt;"&amp;0,Table1[Merchant],Snapshot!AT44,Table1[Month],Snapshot!$W$4)*-1)</f>
        <v/>
      </c>
      <c r="AV44" s="27" t="str">
        <f>IF(ISBLANK(AT44),"",COUNTIFS(Table1[Merchant],Snapshot!AT44,Table1[Month],Snapshot!$W$4))</f>
        <v/>
      </c>
      <c r="AW44" s="27" t="str">
        <f>IFERROR(RANK(AV44,$AV$6:$AV$200)+COUNTIF($AV$6:AV44,AV44)-1,"")</f>
        <v/>
      </c>
      <c r="AX44" s="27" t="str">
        <f>IFERROR(RANK(AU44,$AU$6:$AU$200)+COUNTIF($AU$6:AU44,AU44)-1,"")</f>
        <v/>
      </c>
    </row>
    <row r="45" spans="2:50" ht="14.75" customHeight="1" x14ac:dyDescent="0.35">
      <c r="C45" s="43"/>
      <c r="J45" s="45"/>
      <c r="L45" s="43"/>
      <c r="T45" s="86"/>
      <c r="V45" s="40" t="str">
        <f t="shared" si="6"/>
        <v>--</v>
      </c>
      <c r="W45" s="40"/>
      <c r="AK45" s="14"/>
      <c r="AM45" s="16"/>
      <c r="AN45" s="16"/>
      <c r="AO45" s="16"/>
      <c r="AP45" s="16"/>
      <c r="AT45" s="27"/>
      <c r="AU45" s="34" t="str">
        <f>IF(ISBLANK(AT45),"",SUMIFS(Table1[Amount $],Table1[Amount $],"&lt;"&amp;0,Table1[Merchant],Snapshot!AT45,Table1[Month],Snapshot!$W$4)*-1)</f>
        <v/>
      </c>
      <c r="AV45" s="27" t="str">
        <f>IF(ISBLANK(AT45),"",COUNTIFS(Table1[Merchant],Snapshot!AT45,Table1[Month],Snapshot!$W$4))</f>
        <v/>
      </c>
      <c r="AW45" s="27" t="str">
        <f>IFERROR(RANK(AV45,$AV$6:$AV$200)+COUNTIF($AV$6:AV45,AV45)-1,"")</f>
        <v/>
      </c>
      <c r="AX45" s="27" t="str">
        <f>IFERROR(RANK(AU45,$AU$6:$AU$200)+COUNTIF($AU$6:AU45,AU45)-1,"")</f>
        <v/>
      </c>
    </row>
    <row r="46" spans="2:50" ht="14.75" customHeight="1" x14ac:dyDescent="0.35">
      <c r="C46" s="43"/>
      <c r="D46" s="87" t="s">
        <v>64</v>
      </c>
      <c r="E46" s="87"/>
      <c r="F46" s="87"/>
      <c r="G46" s="88" t="s">
        <v>43</v>
      </c>
      <c r="H46" s="88"/>
      <c r="I46" s="88" t="s">
        <v>109</v>
      </c>
      <c r="J46" s="89"/>
      <c r="L46" s="43"/>
      <c r="M46" s="87" t="s">
        <v>64</v>
      </c>
      <c r="N46" s="87"/>
      <c r="O46" s="87"/>
      <c r="P46" s="87"/>
      <c r="Q46" s="90" t="s">
        <v>42</v>
      </c>
      <c r="R46" s="88"/>
      <c r="S46" s="88" t="s">
        <v>109</v>
      </c>
      <c r="T46" s="91"/>
      <c r="V46" s="40" t="str">
        <f t="shared" si="6"/>
        <v>--</v>
      </c>
      <c r="W46" s="40"/>
      <c r="AK46" s="14"/>
      <c r="AM46" s="16"/>
      <c r="AN46" s="16"/>
      <c r="AO46" s="16"/>
      <c r="AP46" s="16"/>
      <c r="AT46" s="27"/>
      <c r="AU46" s="34" t="str">
        <f>IF(ISBLANK(AT46),"",SUMIFS(Table1[Amount $],Table1[Amount $],"&lt;"&amp;0,Table1[Merchant],Snapshot!AT46,Table1[Month],Snapshot!$W$4)*-1)</f>
        <v/>
      </c>
      <c r="AV46" s="27" t="str">
        <f>IF(ISBLANK(AT46),"",COUNTIFS(Table1[Merchant],Snapshot!AT46,Table1[Month],Snapshot!$W$4))</f>
        <v/>
      </c>
      <c r="AW46" s="27" t="str">
        <f>IFERROR(RANK(AV46,$AV$6:$AV$200)+COUNTIF($AV$6:AV46,AV46)-1,"")</f>
        <v/>
      </c>
      <c r="AX46" s="27" t="str">
        <f>IFERROR(RANK(AU46,$AU$6:$AU$200)+COUNTIF($AU$6:AU46,AU46)-1,"")</f>
        <v/>
      </c>
    </row>
    <row r="47" spans="2:50" ht="14.75" customHeight="1" x14ac:dyDescent="0.35">
      <c r="B47" s="92">
        <v>1</v>
      </c>
      <c r="C47" s="93"/>
      <c r="D47" s="94" t="str" cm="1">
        <f t="array" ref="D47">IFERROR(INDEX($AT:$AT,MATCH($B47,$AW:$AW,0),0),"")</f>
        <v/>
      </c>
      <c r="E47" s="94"/>
      <c r="F47" s="94"/>
      <c r="G47" s="94" t="str" cm="1">
        <f t="array" ref="G47">IF(IFERROR(INDEX($AV:$AV,MATCH($B47,$AW:$AW,0),0),"")=0,"",IFERROR(INDEX($AV:$AV,MATCH($B47,$AW:$AW,0),0),""))</f>
        <v/>
      </c>
      <c r="H47" s="94"/>
      <c r="I47" s="95" t="str" cm="1">
        <f t="array" ref="I47">IF(IFERROR(INDEX($AU:$AU,MATCH($B47,$AW:$AW,0),0),"")=0,"",IFERROR(INDEX($AU:$AU,MATCH($B47,$AW:$AW,0),0),""))</f>
        <v/>
      </c>
      <c r="J47" s="96"/>
      <c r="L47" s="43"/>
      <c r="M47" s="94" t="str" cm="1">
        <f t="array" ref="M47">IFERROR(INDEX($AT:$AT,MATCH($B47,$AX:$AX,0),0),"")</f>
        <v/>
      </c>
      <c r="N47" s="94"/>
      <c r="O47" s="94"/>
      <c r="P47" s="94"/>
      <c r="Q47" s="97" t="str" cm="1">
        <f t="array" ref="Q47">IFERROR(INDEX(Table1[Category],MATCH(Snapshot!M47,Table1[Merchant],0),0),"")</f>
        <v/>
      </c>
      <c r="R47" s="94"/>
      <c r="S47" s="95" t="str" cm="1">
        <f t="array" ref="S47">IF(IFERROR(INDEX($AU:$AU,MATCH($B47,$AX:$AX,0),0),"")=0,"",IFERROR(INDEX($AU:$AU,MATCH($B47,$AX:$AX,0),0),""))</f>
        <v/>
      </c>
      <c r="T47" s="98"/>
      <c r="U47" s="16"/>
      <c r="V47" s="40" t="str">
        <f t="shared" si="6"/>
        <v>--</v>
      </c>
      <c r="W47" s="40"/>
      <c r="AK47" s="14"/>
      <c r="AM47" s="16"/>
      <c r="AN47" s="16"/>
      <c r="AO47" s="16"/>
      <c r="AP47" s="16"/>
      <c r="AT47" s="27"/>
      <c r="AU47" s="34" t="str">
        <f>IF(ISBLANK(AT47),"",SUMIFS(Table1[Amount $],Table1[Amount $],"&lt;"&amp;0,Table1[Merchant],Snapshot!AT47,Table1[Month],Snapshot!$W$4)*-1)</f>
        <v/>
      </c>
      <c r="AV47" s="27" t="str">
        <f>IF(ISBLANK(AT47),"",COUNTIFS(Table1[Merchant],Snapshot!AT47,Table1[Month],Snapshot!$W$4))</f>
        <v/>
      </c>
      <c r="AW47" s="27" t="str">
        <f>IFERROR(RANK(AV47,$AV$6:$AV$200)+COUNTIF($AV$6:AV47,AV47)-1,"")</f>
        <v/>
      </c>
      <c r="AX47" s="27" t="str">
        <f>IFERROR(RANK(AU47,$AU$6:$AU$200)+COUNTIF($AU$6:AU47,AU47)-1,"")</f>
        <v/>
      </c>
    </row>
    <row r="48" spans="2:50" ht="14.75" customHeight="1" x14ac:dyDescent="0.35">
      <c r="B48" s="92">
        <f>B47+1</f>
        <v>2</v>
      </c>
      <c r="C48" s="93"/>
      <c r="D48" s="27" t="str" cm="1">
        <f t="array" ref="D48">IFERROR(INDEX($AT:$AT,MATCH($B48,$AW:$AW,0),0),"")</f>
        <v/>
      </c>
      <c r="E48" s="27"/>
      <c r="F48" s="27"/>
      <c r="G48" s="27" t="str" cm="1">
        <f t="array" ref="G48">IF(IFERROR(INDEX($AV:$AV,MATCH($B48,$AW:$AW,0),0),"")=0,"",IFERROR(INDEX($AV:$AV,MATCH($B48,$AW:$AW,0),0),""))</f>
        <v/>
      </c>
      <c r="H48" s="27"/>
      <c r="I48" s="42" t="str" cm="1">
        <f t="array" ref="I48">IF(IFERROR(INDEX($AU:$AU,MATCH($B48,$AW:$AW,0),0),"")=0,"",IFERROR(INDEX($AU:$AU,MATCH($B48,$AW:$AW,0),0),""))</f>
        <v/>
      </c>
      <c r="J48" s="96"/>
      <c r="L48" s="43"/>
      <c r="M48" s="27" t="str" cm="1">
        <f t="array" ref="M48">IFERROR(INDEX($AT:$AT,MATCH($B48,$AX:$AX,0),0),"")</f>
        <v/>
      </c>
      <c r="N48" s="27"/>
      <c r="O48" s="27"/>
      <c r="P48" s="27"/>
      <c r="Q48" s="99" t="str" cm="1">
        <f t="array" ref="Q48">IFERROR(INDEX(Table1[Category],MATCH(Snapshot!M48,Table1[Merchant],0),0),"")</f>
        <v/>
      </c>
      <c r="R48" s="27"/>
      <c r="S48" s="42" t="str" cm="1">
        <f t="array" ref="S48">IF(IFERROR(INDEX($AU:$AU,MATCH($B48,$AX:$AX,0),0),"")=0,"",IFERROR(INDEX($AU:$AU,MATCH($B48,$AX:$AX,0),0),""))</f>
        <v/>
      </c>
      <c r="T48" s="98"/>
      <c r="V48" s="40" t="str">
        <f t="shared" si="6"/>
        <v>--</v>
      </c>
      <c r="W48" s="40"/>
      <c r="AK48" s="14"/>
      <c r="AM48" s="16"/>
      <c r="AN48" s="16"/>
      <c r="AO48" s="16"/>
      <c r="AP48" s="16"/>
      <c r="AT48" s="27"/>
      <c r="AU48" s="34" t="str">
        <f>IF(ISBLANK(AT48),"",SUMIFS(Table1[Amount $],Table1[Amount $],"&lt;"&amp;0,Table1[Merchant],Snapshot!AT48,Table1[Month],Snapshot!$W$4)*-1)</f>
        <v/>
      </c>
      <c r="AV48" s="27" t="str">
        <f>IF(ISBLANK(AT48),"",COUNTIFS(Table1[Merchant],Snapshot!AT48,Table1[Month],Snapshot!$W$4))</f>
        <v/>
      </c>
      <c r="AW48" s="27" t="str">
        <f>IFERROR(RANK(AV48,$AV$6:$AV$200)+COUNTIF($AV$6:AV48,AV48)-1,"")</f>
        <v/>
      </c>
      <c r="AX48" s="27" t="str">
        <f>IFERROR(RANK(AU48,$AU$6:$AU$200)+COUNTIF($AU$6:AU48,AU48)-1,"")</f>
        <v/>
      </c>
    </row>
    <row r="49" spans="2:50" ht="14.75" customHeight="1" x14ac:dyDescent="0.35">
      <c r="B49" s="92">
        <f t="shared" ref="B49:B56" si="7">B48+1</f>
        <v>3</v>
      </c>
      <c r="C49" s="93"/>
      <c r="D49" s="16" t="str" cm="1">
        <f t="array" ref="D49">IFERROR(INDEX($AT:$AT,MATCH($B49,$AW:$AW,0),0),"")</f>
        <v/>
      </c>
      <c r="E49" s="16"/>
      <c r="F49" s="16"/>
      <c r="G49" s="16" t="str" cm="1">
        <f t="array" ref="G49">IF(IFERROR(INDEX($AV:$AV,MATCH($B49,$AW:$AW,0),0),"")=0,"",IFERROR(INDEX($AV:$AV,MATCH($B49,$AW:$AW,0),0),""))</f>
        <v/>
      </c>
      <c r="H49" s="16"/>
      <c r="I49" s="53" t="str" cm="1">
        <f t="array" ref="I49">IF(IFERROR(INDEX($AU:$AU,MATCH($B49,$AW:$AW,0),0),"")=0,"",IFERROR(INDEX($AU:$AU,MATCH($B49,$AW:$AW,0),0),""))</f>
        <v/>
      </c>
      <c r="J49" s="96"/>
      <c r="L49" s="43"/>
      <c r="M49" s="16" t="str" cm="1">
        <f t="array" ref="M49">IFERROR(INDEX($AT:$AT,MATCH($B49,$AX:$AX,0),0),"")</f>
        <v/>
      </c>
      <c r="N49" s="16"/>
      <c r="O49" s="16"/>
      <c r="P49" s="16"/>
      <c r="Q49" s="100" t="str" cm="1">
        <f t="array" ref="Q49">IFERROR(INDEX(Table1[Category],MATCH(Snapshot!M49,Table1[Merchant],0),0),"")</f>
        <v/>
      </c>
      <c r="R49" s="16"/>
      <c r="S49" s="53" t="str" cm="1">
        <f t="array" ref="S49">IF(IFERROR(INDEX($AU:$AU,MATCH($B49,$AX:$AX,0),0),"")=0,"",IFERROR(INDEX($AU:$AU,MATCH($B49,$AX:$AX,0),0),""))</f>
        <v/>
      </c>
      <c r="T49" s="98"/>
      <c r="V49" s="40" t="str">
        <f t="shared" si="6"/>
        <v>--</v>
      </c>
      <c r="W49" s="40"/>
      <c r="AK49" s="14"/>
      <c r="AM49" s="16"/>
      <c r="AN49" s="16"/>
      <c r="AO49" s="16"/>
      <c r="AP49" s="16"/>
      <c r="AT49" s="27"/>
      <c r="AU49" s="34" t="str">
        <f>IF(ISBLANK(AT49),"",SUMIFS(Table1[Amount $],Table1[Amount $],"&lt;"&amp;0,Table1[Merchant],Snapshot!AT49,Table1[Month],Snapshot!$W$4)*-1)</f>
        <v/>
      </c>
      <c r="AV49" s="27" t="str">
        <f>IF(ISBLANK(AT49),"",COUNTIFS(Table1[Merchant],Snapshot!AT49,Table1[Month],Snapshot!$W$4))</f>
        <v/>
      </c>
      <c r="AW49" s="27" t="str">
        <f>IFERROR(RANK(AV49,$AV$6:$AV$200)+COUNTIF($AV$6:AV49,AV49)-1,"")</f>
        <v/>
      </c>
      <c r="AX49" s="27" t="str">
        <f>IFERROR(RANK(AU49,$AU$6:$AU$200)+COUNTIF($AU$6:AU49,AU49)-1,"")</f>
        <v/>
      </c>
    </row>
    <row r="50" spans="2:50" ht="14.75" customHeight="1" x14ac:dyDescent="0.35">
      <c r="B50" s="92">
        <f t="shared" si="7"/>
        <v>4</v>
      </c>
      <c r="C50" s="93"/>
      <c r="D50" s="27" t="str" cm="1">
        <f t="array" ref="D50">IFERROR(INDEX($AT:$AT,MATCH($B50,$AW:$AW,0),0),"")</f>
        <v/>
      </c>
      <c r="E50" s="27"/>
      <c r="F50" s="27"/>
      <c r="G50" s="27" t="str" cm="1">
        <f t="array" ref="G50">IF(IFERROR(INDEX($AV:$AV,MATCH($B50,$AW:$AW,0),0),"")=0,"",IFERROR(INDEX($AV:$AV,MATCH($B50,$AW:$AW,0),0),""))</f>
        <v/>
      </c>
      <c r="H50" s="27"/>
      <c r="I50" s="42" t="str" cm="1">
        <f t="array" ref="I50">IF(IFERROR(INDEX($AU:$AU,MATCH($B50,$AW:$AW,0),0),"")=0,"",IFERROR(INDEX($AU:$AU,MATCH($B50,$AW:$AW,0),0),""))</f>
        <v/>
      </c>
      <c r="J50" s="96"/>
      <c r="L50" s="43"/>
      <c r="M50" s="27" t="str" cm="1">
        <f t="array" ref="M50">IFERROR(INDEX($AT:$AT,MATCH($B50,$AX:$AX,0),0),"")</f>
        <v/>
      </c>
      <c r="N50" s="27"/>
      <c r="O50" s="27"/>
      <c r="P50" s="27"/>
      <c r="Q50" s="99" t="str" cm="1">
        <f t="array" ref="Q50">IFERROR(INDEX(Table1[Category],MATCH(Snapshot!M50,Table1[Merchant],0),0),"")</f>
        <v/>
      </c>
      <c r="R50" s="27"/>
      <c r="S50" s="42" t="str" cm="1">
        <f t="array" ref="S50">IF(IFERROR(INDEX($AU:$AU,MATCH($B50,$AX:$AX,0),0),"")=0,"",IFERROR(INDEX($AU:$AU,MATCH($B50,$AX:$AX,0),0),""))</f>
        <v/>
      </c>
      <c r="T50" s="98"/>
      <c r="V50" s="40" t="str">
        <f t="shared" si="6"/>
        <v>--</v>
      </c>
      <c r="W50" s="40"/>
      <c r="AK50" s="14"/>
      <c r="AM50" s="16"/>
      <c r="AN50" s="16"/>
      <c r="AO50" s="16"/>
      <c r="AP50" s="16"/>
      <c r="AT50" s="27"/>
      <c r="AU50" s="34" t="str">
        <f>IF(ISBLANK(AT50),"",SUMIFS(Table1[Amount $],Table1[Amount $],"&lt;"&amp;0,Table1[Merchant],Snapshot!AT50,Table1[Month],Snapshot!$W$4)*-1)</f>
        <v/>
      </c>
      <c r="AV50" s="27" t="str">
        <f>IF(ISBLANK(AT50),"",COUNTIFS(Table1[Merchant],Snapshot!AT50,Table1[Month],Snapshot!$W$4))</f>
        <v/>
      </c>
      <c r="AW50" s="27" t="str">
        <f>IFERROR(RANK(AV50,$AV$6:$AV$200)+COUNTIF($AV$6:AV50,AV50)-1,"")</f>
        <v/>
      </c>
      <c r="AX50" s="27" t="str">
        <f>IFERROR(RANK(AU50,$AU$6:$AU$200)+COUNTIF($AU$6:AU50,AU50)-1,"")</f>
        <v/>
      </c>
    </row>
    <row r="51" spans="2:50" ht="14.75" customHeight="1" x14ac:dyDescent="0.35">
      <c r="B51" s="92">
        <f t="shared" si="7"/>
        <v>5</v>
      </c>
      <c r="C51" s="93"/>
      <c r="D51" s="16" t="str" cm="1">
        <f t="array" ref="D51">IFERROR(INDEX($AT:$AT,MATCH($B51,$AW:$AW,0),0),"")</f>
        <v/>
      </c>
      <c r="E51" s="16"/>
      <c r="F51" s="16"/>
      <c r="G51" s="16" t="str" cm="1">
        <f t="array" ref="G51">IF(IFERROR(INDEX($AV:$AV,MATCH($B51,$AW:$AW,0),0),"")=0,"",IFERROR(INDEX($AV:$AV,MATCH($B51,$AW:$AW,0),0),""))</f>
        <v/>
      </c>
      <c r="H51" s="16"/>
      <c r="I51" s="53" t="str" cm="1">
        <f t="array" ref="I51">IF(IFERROR(INDEX($AU:$AU,MATCH($B51,$AW:$AW,0),0),"")=0,"",IFERROR(INDEX($AU:$AU,MATCH($B51,$AW:$AW,0),0),""))</f>
        <v/>
      </c>
      <c r="J51" s="96"/>
      <c r="L51" s="43"/>
      <c r="M51" s="16" t="str" cm="1">
        <f t="array" ref="M51">IFERROR(INDEX($AT:$AT,MATCH($B51,$AX:$AX,0),0),"")</f>
        <v/>
      </c>
      <c r="N51" s="16"/>
      <c r="O51" s="16"/>
      <c r="P51" s="16"/>
      <c r="Q51" s="100" t="str" cm="1">
        <f t="array" ref="Q51">IFERROR(INDEX(Table1[Category],MATCH(Snapshot!M51,Table1[Merchant],0),0),"")</f>
        <v/>
      </c>
      <c r="R51" s="16"/>
      <c r="S51" s="53" t="str" cm="1">
        <f t="array" ref="S51">IF(IFERROR(INDEX($AU:$AU,MATCH($B51,$AX:$AX,0),0),"")=0,"",IFERROR(INDEX($AU:$AU,MATCH($B51,$AX:$AX,0),0),""))</f>
        <v/>
      </c>
      <c r="T51" s="98"/>
      <c r="V51" s="40" t="str">
        <f t="shared" si="6"/>
        <v>--</v>
      </c>
      <c r="W51" s="40"/>
      <c r="AM51" s="16"/>
      <c r="AN51" s="16"/>
      <c r="AO51" s="16"/>
      <c r="AP51" s="16"/>
      <c r="AT51" s="27"/>
      <c r="AU51" s="34" t="str">
        <f>IF(ISBLANK(AT51),"",SUMIFS(Table1[Amount $],Table1[Amount $],"&lt;"&amp;0,Table1[Merchant],Snapshot!AT51,Table1[Month],Snapshot!$W$4)*-1)</f>
        <v/>
      </c>
      <c r="AV51" s="27" t="str">
        <f>IF(ISBLANK(AT51),"",COUNTIFS(Table1[Merchant],Snapshot!AT51,Table1[Month],Snapshot!$W$4))</f>
        <v/>
      </c>
      <c r="AW51" s="27" t="str">
        <f>IFERROR(RANK(AV51,$AV$6:$AV$200)+COUNTIF($AV$6:AV51,AV51)-1,"")</f>
        <v/>
      </c>
      <c r="AX51" s="27" t="str">
        <f>IFERROR(RANK(AU51,$AU$6:$AU$200)+COUNTIF($AU$6:AU51,AU51)-1,"")</f>
        <v/>
      </c>
    </row>
    <row r="52" spans="2:50" x14ac:dyDescent="0.35">
      <c r="B52" s="92">
        <f t="shared" si="7"/>
        <v>6</v>
      </c>
      <c r="C52" s="93"/>
      <c r="D52" s="27" t="str" cm="1">
        <f t="array" ref="D52">IFERROR(INDEX($AT:$AT,MATCH($B52,$AW:$AW,0),0),"")</f>
        <v/>
      </c>
      <c r="E52" s="27"/>
      <c r="F52" s="27"/>
      <c r="G52" s="27" t="str" cm="1">
        <f t="array" ref="G52">IF(IFERROR(INDEX($AV:$AV,MATCH($B52,$AW:$AW,0),0),"")=0,"",IFERROR(INDEX($AV:$AV,MATCH($B52,$AW:$AW,0),0),""))</f>
        <v/>
      </c>
      <c r="H52" s="27"/>
      <c r="I52" s="42" t="str" cm="1">
        <f t="array" ref="I52">IF(IFERROR(INDEX($AU:$AU,MATCH($B52,$AW:$AW,0),0),"")=0,"",IFERROR(INDEX($AU:$AU,MATCH($B52,$AW:$AW,0),0),""))</f>
        <v/>
      </c>
      <c r="J52" s="96"/>
      <c r="L52" s="43"/>
      <c r="M52" s="27" t="str" cm="1">
        <f t="array" ref="M52">IFERROR(INDEX($AT:$AT,MATCH($B52,$AX:$AX,0),0),"")</f>
        <v/>
      </c>
      <c r="N52" s="27"/>
      <c r="O52" s="27"/>
      <c r="P52" s="27"/>
      <c r="Q52" s="99" t="str" cm="1">
        <f t="array" ref="Q52">IFERROR(INDEX(Table1[Category],MATCH(Snapshot!M52,Table1[Merchant],0),0),"")</f>
        <v/>
      </c>
      <c r="R52" s="27"/>
      <c r="S52" s="42" t="str" cm="1">
        <f t="array" ref="S52">IF(IFERROR(INDEX($AU:$AU,MATCH($B52,$AX:$AX,0),0),"")=0,"",IFERROR(INDEX($AU:$AU,MATCH($B52,$AX:$AX,0),0),""))</f>
        <v/>
      </c>
      <c r="T52" s="98"/>
      <c r="V52" s="40" t="str">
        <f t="shared" si="6"/>
        <v>--</v>
      </c>
      <c r="W52" s="40"/>
      <c r="AM52" s="16"/>
      <c r="AN52" s="16"/>
      <c r="AO52" s="16"/>
      <c r="AP52" s="16"/>
      <c r="AT52" s="27"/>
      <c r="AU52" s="34" t="str">
        <f>IF(ISBLANK(AT52),"",SUMIFS(Table1[Amount $],Table1[Amount $],"&lt;"&amp;0,Table1[Merchant],Snapshot!AT52,Table1[Month],Snapshot!$W$4)*-1)</f>
        <v/>
      </c>
      <c r="AV52" s="27" t="str">
        <f>IF(ISBLANK(AT52),"",COUNTIFS(Table1[Merchant],Snapshot!AT52,Table1[Month],Snapshot!$W$4))</f>
        <v/>
      </c>
      <c r="AW52" s="27" t="str">
        <f>IFERROR(RANK(AV52,$AV$6:$AV$200)+COUNTIF($AV$6:AV52,AV52)-1,"")</f>
        <v/>
      </c>
      <c r="AX52" s="27" t="str">
        <f>IFERROR(RANK(AU52,$AU$6:$AU$200)+COUNTIF($AU$6:AU52,AU52)-1,"")</f>
        <v/>
      </c>
    </row>
    <row r="53" spans="2:50" x14ac:dyDescent="0.35">
      <c r="B53" s="92">
        <f t="shared" si="7"/>
        <v>7</v>
      </c>
      <c r="C53" s="93"/>
      <c r="D53" s="16" t="str" cm="1">
        <f t="array" ref="D53">IFERROR(INDEX($AT:$AT,MATCH($B53,$AW:$AW,0),0),"")</f>
        <v/>
      </c>
      <c r="E53" s="16"/>
      <c r="F53" s="16"/>
      <c r="G53" s="16" t="str" cm="1">
        <f t="array" ref="G53">IF(IFERROR(INDEX($AV:$AV,MATCH($B53,$AW:$AW,0),0),"")=0,"",IFERROR(INDEX($AV:$AV,MATCH($B53,$AW:$AW,0),0),""))</f>
        <v/>
      </c>
      <c r="H53" s="16"/>
      <c r="I53" s="53" t="str" cm="1">
        <f t="array" ref="I53">IF(IFERROR(INDEX($AU:$AU,MATCH($B53,$AW:$AW,0),0),"")=0,"",IFERROR(INDEX($AU:$AU,MATCH($B53,$AW:$AW,0),0),""))</f>
        <v/>
      </c>
      <c r="J53" s="96"/>
      <c r="L53" s="43"/>
      <c r="M53" s="16" t="str" cm="1">
        <f t="array" ref="M53">IFERROR(INDEX($AT:$AT,MATCH($B53,$AX:$AX,0),0),"")</f>
        <v/>
      </c>
      <c r="N53" s="16"/>
      <c r="O53" s="16"/>
      <c r="P53" s="16"/>
      <c r="Q53" s="100" t="str" cm="1">
        <f t="array" ref="Q53">IFERROR(INDEX(Table1[Category],MATCH(Snapshot!M53,Table1[Merchant],0),0),"")</f>
        <v/>
      </c>
      <c r="R53" s="16"/>
      <c r="S53" s="53" t="str" cm="1">
        <f t="array" ref="S53">IF(IFERROR(INDEX($AU:$AU,MATCH($B53,$AX:$AX,0),0),"")=0,"",IFERROR(INDEX($AU:$AU,MATCH($B53,$AX:$AX,0),0),""))</f>
        <v/>
      </c>
      <c r="T53" s="98"/>
      <c r="V53" s="40" t="str">
        <f t="shared" si="6"/>
        <v>--</v>
      </c>
      <c r="W53" s="40"/>
      <c r="AM53" s="16"/>
      <c r="AN53" s="16"/>
      <c r="AO53" s="16"/>
      <c r="AP53" s="16"/>
      <c r="AT53" s="27"/>
      <c r="AU53" s="34" t="str">
        <f>IF(ISBLANK(AT53),"",SUMIFS(Table1[Amount $],Table1[Amount $],"&lt;"&amp;0,Table1[Merchant],Snapshot!AT53,Table1[Month],Snapshot!$W$4)*-1)</f>
        <v/>
      </c>
      <c r="AV53" s="27" t="str">
        <f>IF(ISBLANK(AT53),"",COUNTIFS(Table1[Merchant],Snapshot!AT53,Table1[Month],Snapshot!$W$4))</f>
        <v/>
      </c>
      <c r="AW53" s="27" t="str">
        <f>IFERROR(RANK(AV53,$AV$6:$AV$200)+COUNTIF($AV$6:AV53,AV53)-1,"")</f>
        <v/>
      </c>
      <c r="AX53" s="27" t="str">
        <f>IFERROR(RANK(AU53,$AU$6:$AU$200)+COUNTIF($AU$6:AU53,AU53)-1,"")</f>
        <v/>
      </c>
    </row>
    <row r="54" spans="2:50" x14ac:dyDescent="0.35">
      <c r="B54" s="92">
        <f t="shared" si="7"/>
        <v>8</v>
      </c>
      <c r="C54" s="93"/>
      <c r="D54" s="27" t="str" cm="1">
        <f t="array" ref="D54">IFERROR(INDEX($AT:$AT,MATCH($B54,$AW:$AW,0),0),"")</f>
        <v/>
      </c>
      <c r="E54" s="27"/>
      <c r="F54" s="27"/>
      <c r="G54" s="27" t="str" cm="1">
        <f t="array" ref="G54">IF(IFERROR(INDEX($AV:$AV,MATCH($B54,$AW:$AW,0),0),"")=0,"",IFERROR(INDEX($AV:$AV,MATCH($B54,$AW:$AW,0),0),""))</f>
        <v/>
      </c>
      <c r="H54" s="27"/>
      <c r="I54" s="42" t="str" cm="1">
        <f t="array" ref="I54">IF(IFERROR(INDEX($AU:$AU,MATCH($B54,$AW:$AW,0),0),"")=0,"",IFERROR(INDEX($AU:$AU,MATCH($B54,$AW:$AW,0),0),""))</f>
        <v/>
      </c>
      <c r="J54" s="96"/>
      <c r="L54" s="43"/>
      <c r="M54" s="27" t="str" cm="1">
        <f t="array" ref="M54">IFERROR(INDEX($AT:$AT,MATCH($B54,$AX:$AX,0),0),"")</f>
        <v/>
      </c>
      <c r="N54" s="27"/>
      <c r="O54" s="27"/>
      <c r="P54" s="27"/>
      <c r="Q54" s="99" t="str" cm="1">
        <f t="array" ref="Q54">IFERROR(INDEX(Table1[Category],MATCH(Snapshot!M54,Table1[Merchant],0),0),"")</f>
        <v/>
      </c>
      <c r="R54" s="27"/>
      <c r="S54" s="42" t="str" cm="1">
        <f t="array" ref="S54">IF(IFERROR(INDEX($AU:$AU,MATCH($B54,$AX:$AX,0),0),"")=0,"",IFERROR(INDEX($AU:$AU,MATCH($B54,$AX:$AX,0),0),""))</f>
        <v/>
      </c>
      <c r="T54" s="98"/>
      <c r="V54" s="40" t="str">
        <f t="shared" si="6"/>
        <v>--</v>
      </c>
      <c r="W54" s="40"/>
      <c r="AM54" s="16"/>
      <c r="AN54" s="16"/>
      <c r="AO54" s="16"/>
      <c r="AP54" s="16"/>
      <c r="AT54" s="27"/>
      <c r="AU54" s="34" t="str">
        <f>IF(ISBLANK(AT54),"",SUMIFS(Table1[Amount $],Table1[Amount $],"&lt;"&amp;0,Table1[Merchant],Snapshot!AT54,Table1[Month],Snapshot!$W$4)*-1)</f>
        <v/>
      </c>
      <c r="AV54" s="27" t="str">
        <f>IF(ISBLANK(AT54),"",COUNTIFS(Table1[Merchant],Snapshot!AT54,Table1[Month],Snapshot!$W$4))</f>
        <v/>
      </c>
      <c r="AW54" s="27" t="str">
        <f>IFERROR(RANK(AV54,$AV$6:$AV$200)+COUNTIF($AV$6:AV54,AV54)-1,"")</f>
        <v/>
      </c>
      <c r="AX54" s="27" t="str">
        <f>IFERROR(RANK(AU54,$AU$6:$AU$200)+COUNTIF($AU$6:AU54,AU54)-1,"")</f>
        <v/>
      </c>
    </row>
    <row r="55" spans="2:50" x14ac:dyDescent="0.35">
      <c r="B55" s="92">
        <f t="shared" si="7"/>
        <v>9</v>
      </c>
      <c r="C55" s="93"/>
      <c r="D55" s="16" t="str" cm="1">
        <f t="array" ref="D55">IFERROR(INDEX($AT:$AT,MATCH($B55,$AW:$AW,0),0),"")</f>
        <v/>
      </c>
      <c r="E55" s="16"/>
      <c r="F55" s="16"/>
      <c r="G55" s="16" t="str" cm="1">
        <f t="array" ref="G55">IF(IFERROR(INDEX($AV:$AV,MATCH($B55,$AW:$AW,0),0),"")=0,"",IFERROR(INDEX($AV:$AV,MATCH($B55,$AW:$AW,0),0),""))</f>
        <v/>
      </c>
      <c r="H55" s="16"/>
      <c r="I55" s="53" t="str" cm="1">
        <f t="array" ref="I55">IF(IFERROR(INDEX($AU:$AU,MATCH($B55,$AW:$AW,0),0),"")=0,"",IFERROR(INDEX($AU:$AU,MATCH($B55,$AW:$AW,0),0),""))</f>
        <v/>
      </c>
      <c r="J55" s="96"/>
      <c r="L55" s="43"/>
      <c r="M55" s="16" t="str" cm="1">
        <f t="array" ref="M55">IFERROR(INDEX($AT:$AT,MATCH($B55,$AX:$AX,0),0),"")</f>
        <v/>
      </c>
      <c r="N55" s="16"/>
      <c r="O55" s="16"/>
      <c r="P55" s="16"/>
      <c r="Q55" s="100" t="str" cm="1">
        <f t="array" ref="Q55">IFERROR(INDEX(Table1[Category],MATCH(Snapshot!M55,Table1[Merchant],0),0),"")</f>
        <v/>
      </c>
      <c r="R55" s="16"/>
      <c r="S55" s="53" t="str" cm="1">
        <f t="array" ref="S55">IF(IFERROR(INDEX($AU:$AU,MATCH($B55,$AX:$AX,0),0),"")=0,"",IFERROR(INDEX($AU:$AU,MATCH($B55,$AX:$AX,0),0),""))</f>
        <v/>
      </c>
      <c r="T55" s="98"/>
      <c r="V55" s="40" t="str">
        <f t="shared" si="6"/>
        <v>--</v>
      </c>
      <c r="W55" s="40"/>
      <c r="AM55" s="16"/>
      <c r="AN55" s="16"/>
      <c r="AO55" s="16"/>
      <c r="AP55" s="16"/>
      <c r="AT55" s="27"/>
      <c r="AU55" s="34" t="str">
        <f>IF(ISBLANK(AT55),"",SUMIFS(Table1[Amount $],Table1[Amount $],"&lt;"&amp;0,Table1[Merchant],Snapshot!AT55,Table1[Month],Snapshot!$W$4)*-1)</f>
        <v/>
      </c>
      <c r="AV55" s="27" t="str">
        <f>IF(ISBLANK(AT55),"",COUNTIFS(Table1[Merchant],Snapshot!AT55,Table1[Month],Snapshot!$W$4))</f>
        <v/>
      </c>
      <c r="AW55" s="27" t="str">
        <f>IFERROR(RANK(AV55,$AV$6:$AV$200)+COUNTIF($AV$6:AV55,AV55)-1,"")</f>
        <v/>
      </c>
      <c r="AX55" s="27" t="str">
        <f>IFERROR(RANK(AU55,$AU$6:$AU$200)+COUNTIF($AU$6:AU55,AU55)-1,"")</f>
        <v/>
      </c>
    </row>
    <row r="56" spans="2:50" x14ac:dyDescent="0.35">
      <c r="B56" s="92">
        <f t="shared" si="7"/>
        <v>10</v>
      </c>
      <c r="C56" s="93"/>
      <c r="D56" s="27" t="str" cm="1">
        <f t="array" ref="D56">IFERROR(INDEX($AT:$AT,MATCH($B56,$AW:$AW,0),0),"")</f>
        <v/>
      </c>
      <c r="E56" s="27"/>
      <c r="F56" s="27"/>
      <c r="G56" s="27" t="str" cm="1">
        <f t="array" ref="G56">IF(IFERROR(INDEX($AV:$AV,MATCH($B56,$AW:$AW,0),0),"")=0,"",IFERROR(INDEX($AV:$AV,MATCH($B56,$AW:$AW,0),0),""))</f>
        <v/>
      </c>
      <c r="H56" s="27"/>
      <c r="I56" s="42" t="str" cm="1">
        <f t="array" ref="I56">IF(IFERROR(INDEX($AU:$AU,MATCH($B56,$AW:$AW,0),0),"")=0,"",IFERROR(INDEX($AU:$AU,MATCH($B56,$AW:$AW,0),0),""))</f>
        <v/>
      </c>
      <c r="J56" s="96"/>
      <c r="L56" s="43"/>
      <c r="M56" s="27" t="str" cm="1">
        <f t="array" ref="M56">IFERROR(INDEX($AT:$AT,MATCH($B56,$AX:$AX,0),0),"")</f>
        <v/>
      </c>
      <c r="N56" s="27"/>
      <c r="O56" s="27"/>
      <c r="P56" s="27"/>
      <c r="Q56" s="99" t="str" cm="1">
        <f t="array" ref="Q56">IFERROR(INDEX(Table1[Category],MATCH(Snapshot!M56,Table1[Merchant],0),0),"")</f>
        <v/>
      </c>
      <c r="R56" s="27"/>
      <c r="S56" s="42" t="str" cm="1">
        <f t="array" ref="S56">IF(IFERROR(INDEX($AU:$AU,MATCH($B56,$AX:$AX,0),0),"")=0,"",IFERROR(INDEX($AU:$AU,MATCH($B56,$AX:$AX,0),0),""))</f>
        <v/>
      </c>
      <c r="T56" s="98"/>
      <c r="V56" s="40" t="str">
        <f t="shared" si="6"/>
        <v>--</v>
      </c>
      <c r="W56" s="40"/>
      <c r="AM56" s="16"/>
      <c r="AN56" s="16"/>
      <c r="AO56" s="16"/>
      <c r="AP56" s="16"/>
      <c r="AT56" s="27"/>
      <c r="AU56" s="34" t="str">
        <f>IF(ISBLANK(AT56),"",SUMIFS(Table1[Amount $],Table1[Amount $],"&lt;"&amp;0,Table1[Merchant],Snapshot!AT56,Table1[Month],Snapshot!$W$4)*-1)</f>
        <v/>
      </c>
      <c r="AV56" s="27" t="str">
        <f>IF(ISBLANK(AT56),"",COUNTIFS(Table1[Merchant],Snapshot!AT56,Table1[Month],Snapshot!$W$4))</f>
        <v/>
      </c>
      <c r="AW56" s="27" t="str">
        <f>IFERROR(RANK(AV56,$AV$6:$AV$200)+COUNTIF($AV$6:AV56,AV56)-1,"")</f>
        <v/>
      </c>
      <c r="AX56" s="27" t="str">
        <f>IFERROR(RANK(AU56,$AU$6:$AU$200)+COUNTIF($AU$6:AU56,AU56)-1,"")</f>
        <v/>
      </c>
    </row>
    <row r="57" spans="2:50" ht="16.25" customHeight="1" thickBot="1" x14ac:dyDescent="0.4">
      <c r="C57" s="73"/>
      <c r="D57" s="74"/>
      <c r="E57" s="74"/>
      <c r="F57" s="74"/>
      <c r="G57" s="74"/>
      <c r="H57" s="74"/>
      <c r="I57" s="74"/>
      <c r="J57" s="75"/>
      <c r="L57" s="73"/>
      <c r="M57" s="74"/>
      <c r="N57" s="74"/>
      <c r="O57" s="74"/>
      <c r="P57" s="74"/>
      <c r="Q57" s="74"/>
      <c r="R57" s="74"/>
      <c r="S57" s="74"/>
      <c r="T57" s="75"/>
      <c r="V57" s="40" t="str">
        <f t="shared" si="6"/>
        <v>--</v>
      </c>
      <c r="W57" s="40"/>
      <c r="X57" s="101"/>
      <c r="Y57" s="63"/>
      <c r="Z57" s="102"/>
      <c r="AA57" s="103"/>
      <c r="AM57" s="16"/>
      <c r="AN57" s="16"/>
      <c r="AO57" s="16"/>
      <c r="AP57" s="16"/>
      <c r="AT57" s="27"/>
      <c r="AU57" s="34" t="str">
        <f>IF(ISBLANK(AT57),"",SUMIFS(Table1[Amount $],Table1[Amount $],"&lt;"&amp;0,Table1[Merchant],Snapshot!AT57,Table1[Month],Snapshot!$W$4)*-1)</f>
        <v/>
      </c>
      <c r="AV57" s="27" t="str">
        <f>IF(ISBLANK(AT57),"",COUNTIFS(Table1[Merchant],Snapshot!AT57,Table1[Month],Snapshot!$W$4))</f>
        <v/>
      </c>
      <c r="AW57" s="27" t="str">
        <f>IFERROR(RANK(AV57,$AV$6:$AV$200)+COUNTIF($AV$6:AV57,AV57)-1,"")</f>
        <v/>
      </c>
      <c r="AX57" s="27" t="str">
        <f>IFERROR(RANK(AU57,$AU$6:$AU$200)+COUNTIF($AU$6:AU57,AU57)-1,"")</f>
        <v/>
      </c>
    </row>
    <row r="58" spans="2:50" ht="15.5" x14ac:dyDescent="0.35">
      <c r="V58" s="40" t="str">
        <f t="shared" si="6"/>
        <v>--</v>
      </c>
      <c r="W58" s="40"/>
      <c r="X58" s="63"/>
      <c r="Y58" s="63"/>
      <c r="Z58" s="103"/>
      <c r="AA58" s="103"/>
      <c r="AM58" s="16"/>
      <c r="AN58" s="16"/>
      <c r="AO58" s="16"/>
      <c r="AP58" s="16"/>
      <c r="AT58" s="27"/>
      <c r="AU58" s="34" t="str">
        <f>IF(ISBLANK(AT58),"",SUMIFS(Table1[Amount $],Table1[Amount $],"&lt;"&amp;0,Table1[Merchant],Snapshot!AT58,Table1[Month],Snapshot!$W$4)*-1)</f>
        <v/>
      </c>
      <c r="AV58" s="27" t="str">
        <f>IF(ISBLANK(AT58),"",COUNTIFS(Table1[Merchant],Snapshot!AT58,Table1[Month],Snapshot!$W$4))</f>
        <v/>
      </c>
      <c r="AW58" s="27" t="str">
        <f>IFERROR(RANK(AV58,$AV$6:$AV$200)+COUNTIF($AV$6:AV58,AV58)-1,"")</f>
        <v/>
      </c>
      <c r="AX58" s="27" t="str">
        <f>IFERROR(RANK(AU58,$AU$6:$AU$200)+COUNTIF($AU$6:AU58,AU58)-1,"")</f>
        <v/>
      </c>
    </row>
    <row r="59" spans="2:50" x14ac:dyDescent="0.35">
      <c r="D59" s="16"/>
      <c r="V59" s="40" t="str">
        <f t="shared" si="6"/>
        <v>--</v>
      </c>
      <c r="W59" s="40"/>
      <c r="Y59" s="16"/>
      <c r="Z59" s="104"/>
      <c r="AA59" s="104"/>
      <c r="AM59" s="16"/>
      <c r="AN59" s="16"/>
      <c r="AO59" s="16"/>
      <c r="AP59" s="16"/>
      <c r="AT59" s="27"/>
      <c r="AU59" s="34" t="str">
        <f>IF(ISBLANK(AT59),"",SUMIFS(Table1[Amount $],Table1[Amount $],"&lt;"&amp;0,Table1[Merchant],Snapshot!AT59,Table1[Month],Snapshot!$W$4)*-1)</f>
        <v/>
      </c>
      <c r="AV59" s="27" t="str">
        <f>IF(ISBLANK(AT59),"",COUNTIFS(Table1[Merchant],Snapshot!AT59,Table1[Month],Snapshot!$W$4))</f>
        <v/>
      </c>
      <c r="AW59" s="27" t="str">
        <f>IFERROR(RANK(AV59,$AV$6:$AV$200)+COUNTIF($AV$6:AV59,AV59)-1,"")</f>
        <v/>
      </c>
      <c r="AX59" s="27" t="str">
        <f>IFERROR(RANK(AU59,$AU$6:$AU$200)+COUNTIF($AU$6:AU59,AU59)-1,"")</f>
        <v/>
      </c>
    </row>
    <row r="60" spans="2:50" x14ac:dyDescent="0.35">
      <c r="D60" s="16"/>
      <c r="V60" s="40" t="str">
        <f t="shared" si="6"/>
        <v>--</v>
      </c>
      <c r="W60" s="40"/>
      <c r="AM60" s="16"/>
      <c r="AN60" s="16"/>
      <c r="AO60" s="16"/>
      <c r="AP60" s="16"/>
      <c r="AT60" s="27"/>
      <c r="AU60" s="34" t="str">
        <f>IF(ISBLANK(AT60),"",SUMIFS(Table1[Amount $],Table1[Amount $],"&lt;"&amp;0,Table1[Merchant],Snapshot!AT60,Table1[Month],Snapshot!$W$4)*-1)</f>
        <v/>
      </c>
      <c r="AV60" s="27" t="str">
        <f>IF(ISBLANK(AT60),"",COUNTIFS(Table1[Merchant],Snapshot!AT60,Table1[Month],Snapshot!$W$4))</f>
        <v/>
      </c>
      <c r="AW60" s="27" t="str">
        <f>IFERROR(RANK(AV60,$AV$6:$AV$200)+COUNTIF($AV$6:AV60,AV60)-1,"")</f>
        <v/>
      </c>
      <c r="AX60" s="27" t="str">
        <f>IFERROR(RANK(AU60,$AU$6:$AU$200)+COUNTIF($AU$6:AU60,AU60)-1,"")</f>
        <v/>
      </c>
    </row>
    <row r="61" spans="2:50" x14ac:dyDescent="0.35">
      <c r="D61" s="16"/>
      <c r="V61" s="40" t="str">
        <f t="shared" si="6"/>
        <v>--</v>
      </c>
      <c r="W61" s="40"/>
      <c r="AM61" s="16"/>
      <c r="AN61" s="16"/>
      <c r="AO61" s="16"/>
      <c r="AP61" s="16"/>
      <c r="AT61" s="27"/>
      <c r="AU61" s="34" t="str">
        <f>IF(ISBLANK(AT61),"",SUMIFS(Table1[Amount $],Table1[Amount $],"&lt;"&amp;0,Table1[Merchant],Snapshot!AT61,Table1[Month],Snapshot!$W$4)*-1)</f>
        <v/>
      </c>
      <c r="AV61" s="27" t="str">
        <f>IF(ISBLANK(AT61),"",COUNTIFS(Table1[Merchant],Snapshot!AT61,Table1[Month],Snapshot!$W$4))</f>
        <v/>
      </c>
      <c r="AW61" s="27" t="str">
        <f>IFERROR(RANK(AV61,$AV$6:$AV$200)+COUNTIF($AV$6:AV61,AV61)-1,"")</f>
        <v/>
      </c>
      <c r="AX61" s="27" t="str">
        <f>IFERROR(RANK(AU61,$AU$6:$AU$200)+COUNTIF($AU$6:AU61,AU61)-1,"")</f>
        <v/>
      </c>
    </row>
    <row r="62" spans="2:50" x14ac:dyDescent="0.35">
      <c r="D62" s="16"/>
      <c r="V62" s="40" t="str">
        <f t="shared" si="6"/>
        <v>--</v>
      </c>
      <c r="W62" s="40"/>
      <c r="AM62" s="16"/>
      <c r="AN62" s="16"/>
      <c r="AO62" s="16"/>
      <c r="AP62" s="16"/>
      <c r="AT62" s="27"/>
      <c r="AU62" s="34" t="str">
        <f>IF(ISBLANK(AT62),"",SUMIFS(Table1[Amount $],Table1[Amount $],"&lt;"&amp;0,Table1[Merchant],Snapshot!AT62,Table1[Month],Snapshot!$W$4)*-1)</f>
        <v/>
      </c>
      <c r="AV62" s="27" t="str">
        <f>IF(ISBLANK(AT62),"",COUNTIFS(Table1[Merchant],Snapshot!AT62,Table1[Month],Snapshot!$W$4))</f>
        <v/>
      </c>
      <c r="AW62" s="27" t="str">
        <f>IFERROR(RANK(AV62,$AV$6:$AV$200)+COUNTIF($AV$6:AV62,AV62)-1,"")</f>
        <v/>
      </c>
      <c r="AX62" s="27" t="str">
        <f>IFERROR(RANK(AU62,$AU$6:$AU$200)+COUNTIF($AU$6:AU62,AU62)-1,"")</f>
        <v/>
      </c>
    </row>
    <row r="63" spans="2:50" x14ac:dyDescent="0.35">
      <c r="D63" s="16"/>
      <c r="V63" s="40" t="str">
        <f t="shared" si="6"/>
        <v>--</v>
      </c>
      <c r="W63" s="40"/>
      <c r="AM63" s="16"/>
      <c r="AN63" s="16"/>
      <c r="AO63" s="16"/>
      <c r="AP63" s="16"/>
      <c r="AT63" s="27"/>
      <c r="AU63" s="34" t="str">
        <f>IF(ISBLANK(AT63),"",SUMIFS(Table1[Amount $],Table1[Amount $],"&lt;"&amp;0,Table1[Merchant],Snapshot!AT63,Table1[Month],Snapshot!$W$4)*-1)</f>
        <v/>
      </c>
      <c r="AV63" s="27" t="str">
        <f>IF(ISBLANK(AT63),"",COUNTIFS(Table1[Merchant],Snapshot!AT63,Table1[Month],Snapshot!$W$4))</f>
        <v/>
      </c>
      <c r="AW63" s="27" t="str">
        <f>IFERROR(RANK(AV63,$AV$6:$AV$200)+COUNTIF($AV$6:AV63,AV63)-1,"")</f>
        <v/>
      </c>
      <c r="AX63" s="27" t="str">
        <f>IFERROR(RANK(AU63,$AU$6:$AU$200)+COUNTIF($AU$6:AU63,AU63)-1,"")</f>
        <v/>
      </c>
    </row>
    <row r="64" spans="2:50" x14ac:dyDescent="0.35">
      <c r="D64" s="16"/>
      <c r="V64" s="40" t="str">
        <f t="shared" si="6"/>
        <v>--</v>
      </c>
      <c r="W64" s="40"/>
      <c r="AM64" s="16"/>
      <c r="AN64" s="16"/>
      <c r="AO64" s="16"/>
      <c r="AP64" s="16"/>
      <c r="AT64" s="27"/>
      <c r="AU64" s="34" t="str">
        <f>IF(ISBLANK(AT64),"",SUMIFS(Table1[Amount $],Table1[Amount $],"&lt;"&amp;0,Table1[Merchant],Snapshot!AT64,Table1[Month],Snapshot!$W$4)*-1)</f>
        <v/>
      </c>
      <c r="AV64" s="27" t="str">
        <f>IF(ISBLANK(AT64),"",COUNTIFS(Table1[Merchant],Snapshot!AT64,Table1[Month],Snapshot!$W$4))</f>
        <v/>
      </c>
      <c r="AW64" s="27" t="str">
        <f>IFERROR(RANK(AV64,$AV$6:$AV$200)+COUNTIF($AV$6:AV64,AV64)-1,"")</f>
        <v/>
      </c>
      <c r="AX64" s="27" t="str">
        <f>IFERROR(RANK(AU64,$AU$6:$AU$200)+COUNTIF($AU$6:AU64,AU64)-1,"")</f>
        <v/>
      </c>
    </row>
    <row r="65" spans="4:50" x14ac:dyDescent="0.35">
      <c r="D65" s="16"/>
      <c r="V65" s="40" t="str">
        <f t="shared" ref="V65:V99" si="8">IF(ISBLANK(W65),"--",TEXT(W65,"mmmm")&amp;" "&amp;TEXT(W65,"YYYY"))</f>
        <v>--</v>
      </c>
      <c r="W65" s="40"/>
      <c r="AM65" s="16"/>
      <c r="AN65" s="16"/>
      <c r="AO65" s="16"/>
      <c r="AP65" s="16"/>
      <c r="AT65" s="27"/>
      <c r="AU65" s="34" t="str">
        <f>IF(ISBLANK(AT65),"",SUMIFS(Table1[Amount $],Table1[Amount $],"&lt;"&amp;0,Table1[Merchant],Snapshot!AT65,Table1[Month],Snapshot!$W$4)*-1)</f>
        <v/>
      </c>
      <c r="AV65" s="27" t="str">
        <f>IF(ISBLANK(AT65),"",COUNTIFS(Table1[Merchant],Snapshot!AT65,Table1[Month],Snapshot!$W$4))</f>
        <v/>
      </c>
      <c r="AW65" s="27" t="str">
        <f>IFERROR(RANK(AV65,$AV$6:$AV$200)+COUNTIF($AV$6:AV65,AV65)-1,"")</f>
        <v/>
      </c>
      <c r="AX65" s="27" t="str">
        <f>IFERROR(RANK(AU65,$AU$6:$AU$200)+COUNTIF($AU$6:AU65,AU65)-1,"")</f>
        <v/>
      </c>
    </row>
    <row r="66" spans="4:50" x14ac:dyDescent="0.35">
      <c r="D66" s="16"/>
      <c r="V66" s="40" t="str">
        <f t="shared" si="8"/>
        <v>--</v>
      </c>
      <c r="W66" s="40"/>
      <c r="AM66" s="16"/>
      <c r="AN66" s="16"/>
      <c r="AO66" s="16"/>
      <c r="AP66" s="16"/>
      <c r="AT66" s="27"/>
      <c r="AU66" s="34" t="str">
        <f>IF(ISBLANK(AT66),"",SUMIFS(Table1[Amount $],Table1[Amount $],"&lt;"&amp;0,Table1[Merchant],Snapshot!AT66,Table1[Month],Snapshot!$W$4)*-1)</f>
        <v/>
      </c>
      <c r="AV66" s="27" t="str">
        <f>IF(ISBLANK(AT66),"",COUNTIFS(Table1[Merchant],Snapshot!AT66,Table1[Month],Snapshot!$W$4))</f>
        <v/>
      </c>
      <c r="AW66" s="27" t="str">
        <f>IFERROR(RANK(AV66,$AV$6:$AV$200)+COUNTIF($AV$6:AV66,AV66)-1,"")</f>
        <v/>
      </c>
      <c r="AX66" s="27" t="str">
        <f>IFERROR(RANK(AU66,$AU$6:$AU$200)+COUNTIF($AU$6:AU66,AU66)-1,"")</f>
        <v/>
      </c>
    </row>
    <row r="67" spans="4:50" x14ac:dyDescent="0.35">
      <c r="D67" s="16"/>
      <c r="V67" s="40" t="str">
        <f t="shared" si="8"/>
        <v>--</v>
      </c>
      <c r="W67" s="40"/>
      <c r="AM67" s="16"/>
      <c r="AN67" s="16"/>
      <c r="AO67" s="16"/>
      <c r="AP67" s="16"/>
      <c r="AT67" s="27"/>
      <c r="AU67" s="34" t="str">
        <f>IF(ISBLANK(AT67),"",SUMIFS(Table1[Amount $],Table1[Amount $],"&lt;"&amp;0,Table1[Merchant],Snapshot!AT67,Table1[Month],Snapshot!$W$4)*-1)</f>
        <v/>
      </c>
      <c r="AV67" s="27" t="str">
        <f>IF(ISBLANK(AT67),"",COUNTIFS(Table1[Merchant],Snapshot!AT67,Table1[Month],Snapshot!$W$4))</f>
        <v/>
      </c>
      <c r="AW67" s="27" t="str">
        <f>IFERROR(RANK(AV67,$AV$6:$AV$200)+COUNTIF($AV$6:AV67,AV67)-1,"")</f>
        <v/>
      </c>
      <c r="AX67" s="27" t="str">
        <f>IFERROR(RANK(AU67,$AU$6:$AU$200)+COUNTIF($AU$6:AU67,AU67)-1,"")</f>
        <v/>
      </c>
    </row>
    <row r="68" spans="4:50" x14ac:dyDescent="0.35">
      <c r="D68" s="16"/>
      <c r="V68" s="40" t="str">
        <f t="shared" si="8"/>
        <v>--</v>
      </c>
      <c r="W68" s="40"/>
      <c r="AM68" s="16"/>
      <c r="AN68" s="16"/>
      <c r="AO68" s="16"/>
      <c r="AP68" s="16"/>
      <c r="AT68" s="27"/>
      <c r="AU68" s="34" t="str">
        <f>IF(ISBLANK(AT68),"",SUMIFS(Table1[Amount $],Table1[Amount $],"&lt;"&amp;0,Table1[Merchant],Snapshot!AT68,Table1[Month],Snapshot!$W$4)*-1)</f>
        <v/>
      </c>
      <c r="AV68" s="27" t="str">
        <f>IF(ISBLANK(AT68),"",COUNTIFS(Table1[Merchant],Snapshot!AT68,Table1[Month],Snapshot!$W$4))</f>
        <v/>
      </c>
      <c r="AW68" s="27" t="str">
        <f>IFERROR(RANK(AV68,$AV$6:$AV$200)+COUNTIF($AV$6:AV68,AV68)-1,"")</f>
        <v/>
      </c>
      <c r="AX68" s="27" t="str">
        <f>IFERROR(RANK(AU68,$AU$6:$AU$200)+COUNTIF($AU$6:AU68,AU68)-1,"")</f>
        <v/>
      </c>
    </row>
    <row r="69" spans="4:50" x14ac:dyDescent="0.35">
      <c r="D69" s="16"/>
      <c r="V69" s="40" t="str">
        <f t="shared" si="8"/>
        <v>--</v>
      </c>
      <c r="W69" s="40"/>
      <c r="AT69" s="27"/>
      <c r="AU69" s="34" t="str">
        <f>IF(ISBLANK(AT69),"",SUMIFS(Table1[Amount $],Table1[Amount $],"&lt;"&amp;0,Table1[Merchant],Snapshot!AT69,Table1[Month],Snapshot!$W$4)*-1)</f>
        <v/>
      </c>
      <c r="AV69" s="27" t="str">
        <f>IF(ISBLANK(AT69),"",COUNTIFS(Table1[Merchant],Snapshot!AT69,Table1[Month],Snapshot!$W$4))</f>
        <v/>
      </c>
      <c r="AW69" s="27" t="str">
        <f>IFERROR(RANK(AV69,$AV$6:$AV$200)+COUNTIF($AV$6:AV69,AV69)-1,"")</f>
        <v/>
      </c>
      <c r="AX69" s="27" t="str">
        <f>IFERROR(RANK(AU69,$AU$6:$AU$200)+COUNTIF($AU$6:AU69,AU69)-1,"")</f>
        <v/>
      </c>
    </row>
    <row r="70" spans="4:50" x14ac:dyDescent="0.35">
      <c r="D70" s="16"/>
      <c r="V70" s="40" t="str">
        <f t="shared" si="8"/>
        <v>--</v>
      </c>
      <c r="W70" s="40"/>
      <c r="AT70" s="27"/>
      <c r="AU70" s="34" t="str">
        <f>IF(ISBLANK(AT70),"",SUMIFS(Table1[Amount $],Table1[Amount $],"&lt;"&amp;0,Table1[Merchant],Snapshot!AT70,Table1[Month],Snapshot!$W$4)*-1)</f>
        <v/>
      </c>
      <c r="AV70" s="27" t="str">
        <f>IF(ISBLANK(AT70),"",COUNTIFS(Table1[Merchant],Snapshot!AT70,Table1[Month],Snapshot!$W$4))</f>
        <v/>
      </c>
      <c r="AW70" s="27" t="str">
        <f>IFERROR(RANK(AV70,$AV$6:$AV$200)+COUNTIF($AV$6:AV70,AV70)-1,"")</f>
        <v/>
      </c>
      <c r="AX70" s="27" t="str">
        <f>IFERROR(RANK(AU70,$AU$6:$AU$200)+COUNTIF($AU$6:AU70,AU70)-1,"")</f>
        <v/>
      </c>
    </row>
    <row r="71" spans="4:50" x14ac:dyDescent="0.35">
      <c r="D71" s="16"/>
      <c r="V71" s="40" t="str">
        <f t="shared" si="8"/>
        <v>--</v>
      </c>
      <c r="W71" s="40"/>
      <c r="AT71" s="27"/>
      <c r="AU71" s="34" t="str">
        <f>IF(ISBLANK(AT71),"",SUMIFS(Table1[Amount $],Table1[Amount $],"&lt;"&amp;0,Table1[Merchant],Snapshot!AT71,Table1[Month],Snapshot!$W$4)*-1)</f>
        <v/>
      </c>
      <c r="AV71" s="27" t="str">
        <f>IF(ISBLANK(AT71),"",COUNTIFS(Table1[Merchant],Snapshot!AT71,Table1[Month],Snapshot!$W$4))</f>
        <v/>
      </c>
      <c r="AW71" s="27" t="str">
        <f>IFERROR(RANK(AV71,$AV$6:$AV$200)+COUNTIF($AV$6:AV71,AV71)-1,"")</f>
        <v/>
      </c>
      <c r="AX71" s="27" t="str">
        <f>IFERROR(RANK(AU71,$AU$6:$AU$200)+COUNTIF($AU$6:AU71,AU71)-1,"")</f>
        <v/>
      </c>
    </row>
    <row r="72" spans="4:50" x14ac:dyDescent="0.35">
      <c r="V72" s="40" t="str">
        <f t="shared" si="8"/>
        <v>--</v>
      </c>
      <c r="W72" s="40"/>
      <c r="AT72" s="27"/>
      <c r="AU72" s="34" t="str">
        <f>IF(ISBLANK(AT72),"",SUMIFS(Table1[Amount $],Table1[Amount $],"&lt;"&amp;0,Table1[Merchant],Snapshot!AT72,Table1[Month],Snapshot!$W$4)*-1)</f>
        <v/>
      </c>
      <c r="AV72" s="27" t="str">
        <f>IF(ISBLANK(AT72),"",COUNTIFS(Table1[Merchant],Snapshot!AT72,Table1[Month],Snapshot!$W$4))</f>
        <v/>
      </c>
      <c r="AW72" s="27" t="str">
        <f>IFERROR(RANK(AV72,$AV$6:$AV$200)+COUNTIF($AV$6:AV72,AV72)-1,"")</f>
        <v/>
      </c>
      <c r="AX72" s="27" t="str">
        <f>IFERROR(RANK(AU72,$AU$6:$AU$200)+COUNTIF($AU$6:AU72,AU72)-1,"")</f>
        <v/>
      </c>
    </row>
    <row r="73" spans="4:50" x14ac:dyDescent="0.35">
      <c r="V73" s="40" t="str">
        <f t="shared" si="8"/>
        <v>--</v>
      </c>
      <c r="W73" s="40"/>
      <c r="AT73" s="27"/>
      <c r="AU73" s="34" t="str">
        <f>IF(ISBLANK(AT73),"",SUMIFS(Table1[Amount $],Table1[Amount $],"&lt;"&amp;0,Table1[Merchant],Snapshot!AT73,Table1[Month],Snapshot!$W$4)*-1)</f>
        <v/>
      </c>
      <c r="AV73" s="27" t="str">
        <f>IF(ISBLANK(AT73),"",COUNTIFS(Table1[Merchant],Snapshot!AT73,Table1[Month],Snapshot!$W$4))</f>
        <v/>
      </c>
      <c r="AW73" s="27" t="str">
        <f>IFERROR(RANK(AV73,$AV$6:$AV$200)+COUNTIF($AV$6:AV73,AV73)-1,"")</f>
        <v/>
      </c>
      <c r="AX73" s="27" t="str">
        <f>IFERROR(RANK(AU73,$AU$6:$AU$200)+COUNTIF($AU$6:AU73,AU73)-1,"")</f>
        <v/>
      </c>
    </row>
    <row r="74" spans="4:50" x14ac:dyDescent="0.35">
      <c r="V74" s="40" t="str">
        <f t="shared" si="8"/>
        <v>--</v>
      </c>
      <c r="W74" s="40"/>
      <c r="AT74" s="27"/>
      <c r="AU74" s="34" t="str">
        <f>IF(ISBLANK(AT74),"",SUMIFS(Table1[Amount $],Table1[Amount $],"&lt;"&amp;0,Table1[Merchant],Snapshot!AT74,Table1[Month],Snapshot!$W$4)*-1)</f>
        <v/>
      </c>
      <c r="AV74" s="27" t="str">
        <f>IF(ISBLANK(AT74),"",COUNTIFS(Table1[Merchant],Snapshot!AT74,Table1[Month],Snapshot!$W$4))</f>
        <v/>
      </c>
      <c r="AW74" s="27" t="str">
        <f>IFERROR(RANK(AV74,$AV$6:$AV$200)+COUNTIF($AV$6:AV74,AV74)-1,"")</f>
        <v/>
      </c>
      <c r="AX74" s="27" t="str">
        <f>IFERROR(RANK(AU74,$AU$6:$AU$200)+COUNTIF($AU$6:AU74,AU74)-1,"")</f>
        <v/>
      </c>
    </row>
    <row r="75" spans="4:50" x14ac:dyDescent="0.35">
      <c r="V75" s="40" t="str">
        <f t="shared" si="8"/>
        <v>--</v>
      </c>
      <c r="W75" s="40"/>
      <c r="AT75" s="27"/>
      <c r="AU75" s="34" t="str">
        <f>IF(ISBLANK(AT75),"",SUMIFS(Table1[Amount $],Table1[Amount $],"&lt;"&amp;0,Table1[Merchant],Snapshot!AT75,Table1[Month],Snapshot!$W$4)*-1)</f>
        <v/>
      </c>
      <c r="AV75" s="27" t="str">
        <f>IF(ISBLANK(AT75),"",COUNTIFS(Table1[Merchant],Snapshot!AT75,Table1[Month],Snapshot!$W$4))</f>
        <v/>
      </c>
      <c r="AW75" s="27" t="str">
        <f>IFERROR(RANK(AV75,$AV$6:$AV$200)+COUNTIF($AV$6:AV75,AV75)-1,"")</f>
        <v/>
      </c>
      <c r="AX75" s="27" t="str">
        <f>IFERROR(RANK(AU75,$AU$6:$AU$200)+COUNTIF($AU$6:AU75,AU75)-1,"")</f>
        <v/>
      </c>
    </row>
    <row r="76" spans="4:50" x14ac:dyDescent="0.35">
      <c r="V76" s="40" t="str">
        <f t="shared" si="8"/>
        <v>--</v>
      </c>
      <c r="W76" s="40"/>
      <c r="AT76" s="27"/>
      <c r="AU76" s="34" t="str">
        <f>IF(ISBLANK(AT76),"",SUMIFS(Table1[Amount $],Table1[Amount $],"&lt;"&amp;0,Table1[Merchant],Snapshot!AT76,Table1[Month],Snapshot!$W$4)*-1)</f>
        <v/>
      </c>
      <c r="AV76" s="27" t="str">
        <f>IF(ISBLANK(AT76),"",COUNTIFS(Table1[Merchant],Snapshot!AT76,Table1[Month],Snapshot!$W$4))</f>
        <v/>
      </c>
      <c r="AW76" s="27" t="str">
        <f>IFERROR(RANK(AV76,$AV$6:$AV$200)+COUNTIF($AV$6:AV76,AV76)-1,"")</f>
        <v/>
      </c>
      <c r="AX76" s="27" t="str">
        <f>IFERROR(RANK(AU76,$AU$6:$AU$200)+COUNTIF($AU$6:AU76,AU76)-1,"")</f>
        <v/>
      </c>
    </row>
    <row r="77" spans="4:50" x14ac:dyDescent="0.35">
      <c r="V77" s="40" t="str">
        <f t="shared" si="8"/>
        <v>--</v>
      </c>
      <c r="W77" s="40"/>
      <c r="AT77" s="27"/>
      <c r="AU77" s="34" t="str">
        <f>IF(ISBLANK(AT77),"",SUMIFS(Table1[Amount $],Table1[Amount $],"&lt;"&amp;0,Table1[Merchant],Snapshot!AT77,Table1[Month],Snapshot!$W$4)*-1)</f>
        <v/>
      </c>
      <c r="AV77" s="27" t="str">
        <f>IF(ISBLANK(AT77),"",COUNTIFS(Table1[Merchant],Snapshot!AT77,Table1[Month],Snapshot!$W$4))</f>
        <v/>
      </c>
      <c r="AW77" s="27" t="str">
        <f>IFERROR(RANK(AV77,$AV$6:$AV$200)+COUNTIF($AV$6:AV77,AV77)-1,"")</f>
        <v/>
      </c>
      <c r="AX77" s="27" t="str">
        <f>IFERROR(RANK(AU77,$AU$6:$AU$200)+COUNTIF($AU$6:AU77,AU77)-1,"")</f>
        <v/>
      </c>
    </row>
    <row r="78" spans="4:50" x14ac:dyDescent="0.35">
      <c r="V78" s="40" t="str">
        <f t="shared" si="8"/>
        <v>--</v>
      </c>
      <c r="W78" s="40"/>
      <c r="AT78" s="27"/>
      <c r="AU78" s="34" t="str">
        <f>IF(ISBLANK(AT78),"",SUMIFS(Table1[Amount $],Table1[Amount $],"&lt;"&amp;0,Table1[Merchant],Snapshot!AT78,Table1[Month],Snapshot!$W$4)*-1)</f>
        <v/>
      </c>
      <c r="AV78" s="27" t="str">
        <f>IF(ISBLANK(AT78),"",COUNTIFS(Table1[Merchant],Snapshot!AT78,Table1[Month],Snapshot!$W$4))</f>
        <v/>
      </c>
      <c r="AW78" s="27" t="str">
        <f>IFERROR(RANK(AV78,$AV$6:$AV$200)+COUNTIF($AV$6:AV78,AV78)-1,"")</f>
        <v/>
      </c>
      <c r="AX78" s="27" t="str">
        <f>IFERROR(RANK(AU78,$AU$6:$AU$200)+COUNTIF($AU$6:AU78,AU78)-1,"")</f>
        <v/>
      </c>
    </row>
    <row r="79" spans="4:50" x14ac:dyDescent="0.35">
      <c r="V79" s="40" t="str">
        <f t="shared" si="8"/>
        <v>--</v>
      </c>
      <c r="W79" s="40"/>
      <c r="AT79" s="27"/>
      <c r="AU79" s="34" t="str">
        <f>IF(ISBLANK(AT79),"",SUMIFS(Table1[Amount $],Table1[Amount $],"&lt;"&amp;0,Table1[Merchant],Snapshot!AT79,Table1[Month],Snapshot!$W$4)*-1)</f>
        <v/>
      </c>
      <c r="AV79" s="27" t="str">
        <f>IF(ISBLANK(AT79),"",COUNTIFS(Table1[Merchant],Snapshot!AT79,Table1[Month],Snapshot!$W$4))</f>
        <v/>
      </c>
      <c r="AW79" s="27" t="str">
        <f>IFERROR(RANK(AV79,$AV$6:$AV$200)+COUNTIF($AV$6:AV79,AV79)-1,"")</f>
        <v/>
      </c>
      <c r="AX79" s="27" t="str">
        <f>IFERROR(RANK(AU79,$AU$6:$AU$200)+COUNTIF($AU$6:AU79,AU79)-1,"")</f>
        <v/>
      </c>
    </row>
    <row r="80" spans="4:50" x14ac:dyDescent="0.35">
      <c r="V80" s="40" t="str">
        <f t="shared" si="8"/>
        <v>--</v>
      </c>
      <c r="W80" s="40"/>
      <c r="AT80" s="27"/>
      <c r="AU80" s="34" t="str">
        <f>IF(ISBLANK(AT80),"",SUMIFS(Table1[Amount $],Table1[Amount $],"&lt;"&amp;0,Table1[Merchant],Snapshot!AT80,Table1[Month],Snapshot!$W$4)*-1)</f>
        <v/>
      </c>
      <c r="AV80" s="27" t="str">
        <f>IF(ISBLANK(AT80),"",COUNTIFS(Table1[Merchant],Snapshot!AT80,Table1[Month],Snapshot!$W$4))</f>
        <v/>
      </c>
      <c r="AW80" s="27" t="str">
        <f>IFERROR(RANK(AV80,$AV$6:$AV$200)+COUNTIF($AV$6:AV80,AV80)-1,"")</f>
        <v/>
      </c>
      <c r="AX80" s="27" t="str">
        <f>IFERROR(RANK(AU80,$AU$6:$AU$200)+COUNTIF($AU$6:AU80,AU80)-1,"")</f>
        <v/>
      </c>
    </row>
    <row r="81" spans="22:50" x14ac:dyDescent="0.35">
      <c r="V81" s="40" t="str">
        <f t="shared" si="8"/>
        <v>--</v>
      </c>
      <c r="W81" s="40"/>
      <c r="AT81" s="27"/>
      <c r="AU81" s="34" t="str">
        <f>IF(ISBLANK(AT81),"",SUMIFS(Table1[Amount $],Table1[Amount $],"&lt;"&amp;0,Table1[Merchant],Snapshot!AT81,Table1[Month],Snapshot!$W$4)*-1)</f>
        <v/>
      </c>
      <c r="AV81" s="27" t="str">
        <f>IF(ISBLANK(AT81),"",COUNTIFS(Table1[Merchant],Snapshot!AT81,Table1[Month],Snapshot!$W$4))</f>
        <v/>
      </c>
      <c r="AW81" s="27" t="str">
        <f>IFERROR(RANK(AV81,$AV$6:$AV$200)+COUNTIF($AV$6:AV81,AV81)-1,"")</f>
        <v/>
      </c>
      <c r="AX81" s="27" t="str">
        <f>IFERROR(RANK(AU81,$AU$6:$AU$200)+COUNTIF($AU$6:AU81,AU81)-1,"")</f>
        <v/>
      </c>
    </row>
    <row r="82" spans="22:50" x14ac:dyDescent="0.35">
      <c r="V82" s="40" t="str">
        <f t="shared" si="8"/>
        <v>--</v>
      </c>
      <c r="W82" s="40"/>
      <c r="AT82" s="27"/>
      <c r="AU82" s="34" t="str">
        <f>IF(ISBLANK(AT82),"",SUMIFS(Table1[Amount $],Table1[Amount $],"&lt;"&amp;0,Table1[Merchant],Snapshot!AT82,Table1[Month],Snapshot!$W$4)*-1)</f>
        <v/>
      </c>
      <c r="AV82" s="27" t="str">
        <f>IF(ISBLANK(AT82),"",COUNTIFS(Table1[Merchant],Snapshot!AT82,Table1[Month],Snapshot!$W$4))</f>
        <v/>
      </c>
      <c r="AW82" s="27" t="str">
        <f>IFERROR(RANK(AV82,$AV$6:$AV$200)+COUNTIF($AV$6:AV82,AV82)-1,"")</f>
        <v/>
      </c>
      <c r="AX82" s="27" t="str">
        <f>IFERROR(RANK(AU82,$AU$6:$AU$200)+COUNTIF($AU$6:AU82,AU82)-1,"")</f>
        <v/>
      </c>
    </row>
    <row r="83" spans="22:50" x14ac:dyDescent="0.35">
      <c r="V83" s="40" t="str">
        <f t="shared" si="8"/>
        <v>--</v>
      </c>
      <c r="W83" s="40"/>
      <c r="AT83" s="27"/>
      <c r="AU83" s="34" t="str">
        <f>IF(ISBLANK(AT83),"",SUMIFS(Table1[Amount $],Table1[Amount $],"&lt;"&amp;0,Table1[Merchant],Snapshot!AT83,Table1[Month],Snapshot!$W$4)*-1)</f>
        <v/>
      </c>
      <c r="AV83" s="27" t="str">
        <f>IF(ISBLANK(AT83),"",COUNTIFS(Table1[Merchant],Snapshot!AT83,Table1[Month],Snapshot!$W$4))</f>
        <v/>
      </c>
      <c r="AW83" s="27" t="str">
        <f>IFERROR(RANK(AV83,$AV$6:$AV$200)+COUNTIF($AV$6:AV83,AV83)-1,"")</f>
        <v/>
      </c>
      <c r="AX83" s="27" t="str">
        <f>IFERROR(RANK(AU83,$AU$6:$AU$200)+COUNTIF($AU$6:AU83,AU83)-1,"")</f>
        <v/>
      </c>
    </row>
    <row r="84" spans="22:50" x14ac:dyDescent="0.35">
      <c r="V84" s="40" t="str">
        <f t="shared" si="8"/>
        <v>--</v>
      </c>
      <c r="W84" s="40"/>
      <c r="AT84" s="27"/>
      <c r="AU84" s="34" t="str">
        <f>IF(ISBLANK(AT84),"",SUMIFS(Table1[Amount $],Table1[Amount $],"&lt;"&amp;0,Table1[Merchant],Snapshot!AT84,Table1[Month],Snapshot!$W$4)*-1)</f>
        <v/>
      </c>
      <c r="AV84" s="27" t="str">
        <f>IF(ISBLANK(AT84),"",COUNTIFS(Table1[Merchant],Snapshot!AT84,Table1[Month],Snapshot!$W$4))</f>
        <v/>
      </c>
      <c r="AW84" s="27" t="str">
        <f>IFERROR(RANK(AV84,$AV$6:$AV$200)+COUNTIF($AV$6:AV84,AV84)-1,"")</f>
        <v/>
      </c>
      <c r="AX84" s="27" t="str">
        <f>IFERROR(RANK(AU84,$AU$6:$AU$200)+COUNTIF($AU$6:AU84,AU84)-1,"")</f>
        <v/>
      </c>
    </row>
    <row r="85" spans="22:50" x14ac:dyDescent="0.35">
      <c r="V85" s="40" t="str">
        <f t="shared" si="8"/>
        <v>--</v>
      </c>
      <c r="W85" s="40"/>
      <c r="AT85" s="27"/>
      <c r="AU85" s="34" t="str">
        <f>IF(ISBLANK(AT85),"",SUMIFS(Table1[Amount $],Table1[Amount $],"&lt;"&amp;0,Table1[Merchant],Snapshot!AT85,Table1[Month],Snapshot!$W$4)*-1)</f>
        <v/>
      </c>
      <c r="AV85" s="27" t="str">
        <f>IF(ISBLANK(AT85),"",COUNTIFS(Table1[Merchant],Snapshot!AT85,Table1[Month],Snapshot!$W$4))</f>
        <v/>
      </c>
      <c r="AW85" s="27" t="str">
        <f>IFERROR(RANK(AV85,$AV$6:$AV$200)+COUNTIF($AV$6:AV85,AV85)-1,"")</f>
        <v/>
      </c>
      <c r="AX85" s="27" t="str">
        <f>IFERROR(RANK(AU85,$AU$6:$AU$200)+COUNTIF($AU$6:AU85,AU85)-1,"")</f>
        <v/>
      </c>
    </row>
    <row r="86" spans="22:50" x14ac:dyDescent="0.35">
      <c r="V86" s="40" t="str">
        <f t="shared" si="8"/>
        <v>--</v>
      </c>
      <c r="W86" s="40"/>
      <c r="AT86" s="27"/>
      <c r="AU86" s="34" t="str">
        <f>IF(ISBLANK(AT86),"",SUMIFS(Table1[Amount $],Table1[Amount $],"&lt;"&amp;0,Table1[Merchant],Snapshot!AT86,Table1[Month],Snapshot!$W$4)*-1)</f>
        <v/>
      </c>
      <c r="AV86" s="27" t="str">
        <f>IF(ISBLANK(AT86),"",COUNTIFS(Table1[Merchant],Snapshot!AT86,Table1[Month],Snapshot!$W$4))</f>
        <v/>
      </c>
      <c r="AW86" s="27" t="str">
        <f>IFERROR(RANK(AV86,$AV$6:$AV$200)+COUNTIF($AV$6:AV86,AV86)-1,"")</f>
        <v/>
      </c>
      <c r="AX86" s="27" t="str">
        <f>IFERROR(RANK(AU86,$AU$6:$AU$200)+COUNTIF($AU$6:AU86,AU86)-1,"")</f>
        <v/>
      </c>
    </row>
    <row r="87" spans="22:50" x14ac:dyDescent="0.35">
      <c r="V87" s="40" t="str">
        <f t="shared" si="8"/>
        <v>--</v>
      </c>
      <c r="W87" s="40"/>
      <c r="AT87" s="27"/>
      <c r="AU87" s="34" t="str">
        <f>IF(ISBLANK(AT87),"",SUMIFS(Table1[Amount $],Table1[Amount $],"&lt;"&amp;0,Table1[Merchant],Snapshot!AT87,Table1[Month],Snapshot!$W$4)*-1)</f>
        <v/>
      </c>
      <c r="AV87" s="27" t="str">
        <f>IF(ISBLANK(AT87),"",COUNTIFS(Table1[Merchant],Snapshot!AT87,Table1[Month],Snapshot!$W$4))</f>
        <v/>
      </c>
      <c r="AW87" s="27" t="str">
        <f>IFERROR(RANK(AV87,$AV$6:$AV$200)+COUNTIF($AV$6:AV87,AV87)-1,"")</f>
        <v/>
      </c>
      <c r="AX87" s="27" t="str">
        <f>IFERROR(RANK(AU87,$AU$6:$AU$200)+COUNTIF($AU$6:AU87,AU87)-1,"")</f>
        <v/>
      </c>
    </row>
    <row r="88" spans="22:50" x14ac:dyDescent="0.35">
      <c r="V88" s="40" t="str">
        <f t="shared" si="8"/>
        <v>--</v>
      </c>
      <c r="W88" s="40"/>
      <c r="AT88" s="27"/>
      <c r="AU88" s="34" t="str">
        <f>IF(ISBLANK(AT88),"",SUMIFS(Table1[Amount $],Table1[Amount $],"&lt;"&amp;0,Table1[Merchant],Snapshot!AT88,Table1[Month],Snapshot!$W$4)*-1)</f>
        <v/>
      </c>
      <c r="AV88" s="27" t="str">
        <f>IF(ISBLANK(AT88),"",COUNTIFS(Table1[Merchant],Snapshot!AT88,Table1[Month],Snapshot!$W$4))</f>
        <v/>
      </c>
      <c r="AW88" s="27" t="str">
        <f>IFERROR(RANK(AV88,$AV$6:$AV$200)+COUNTIF($AV$6:AV88,AV88)-1,"")</f>
        <v/>
      </c>
      <c r="AX88" s="27" t="str">
        <f>IFERROR(RANK(AU88,$AU$6:$AU$200)+COUNTIF($AU$6:AU88,AU88)-1,"")</f>
        <v/>
      </c>
    </row>
    <row r="89" spans="22:50" x14ac:dyDescent="0.35">
      <c r="V89" s="40" t="str">
        <f t="shared" si="8"/>
        <v>--</v>
      </c>
      <c r="W89" s="40"/>
      <c r="AT89" s="27"/>
      <c r="AU89" s="34" t="str">
        <f>IF(ISBLANK(AT89),"",SUMIFS(Table1[Amount $],Table1[Amount $],"&lt;"&amp;0,Table1[Merchant],Snapshot!AT89,Table1[Month],Snapshot!$W$4)*-1)</f>
        <v/>
      </c>
      <c r="AV89" s="27" t="str">
        <f>IF(ISBLANK(AT89),"",COUNTIFS(Table1[Merchant],Snapshot!AT89,Table1[Month],Snapshot!$W$4))</f>
        <v/>
      </c>
      <c r="AW89" s="27" t="str">
        <f>IFERROR(RANK(AV89,$AV$6:$AV$200)+COUNTIF($AV$6:AV89,AV89)-1,"")</f>
        <v/>
      </c>
      <c r="AX89" s="27" t="str">
        <f>IFERROR(RANK(AU89,$AU$6:$AU$200)+COUNTIF($AU$6:AU89,AU89)-1,"")</f>
        <v/>
      </c>
    </row>
    <row r="90" spans="22:50" x14ac:dyDescent="0.35">
      <c r="V90" s="40" t="str">
        <f t="shared" si="8"/>
        <v>--</v>
      </c>
      <c r="W90" s="40"/>
      <c r="AT90" s="27"/>
      <c r="AU90" s="34" t="str">
        <f>IF(ISBLANK(AT90),"",SUMIFS(Table1[Amount $],Table1[Amount $],"&lt;"&amp;0,Table1[Merchant],Snapshot!AT90,Table1[Month],Snapshot!$W$4)*-1)</f>
        <v/>
      </c>
      <c r="AV90" s="27" t="str">
        <f>IF(ISBLANK(AT90),"",COUNTIFS(Table1[Merchant],Snapshot!AT90,Table1[Month],Snapshot!$W$4))</f>
        <v/>
      </c>
      <c r="AW90" s="27" t="str">
        <f>IFERROR(RANK(AV90,$AV$6:$AV$200)+COUNTIF($AV$6:AV90,AV90)-1,"")</f>
        <v/>
      </c>
      <c r="AX90" s="27" t="str">
        <f>IFERROR(RANK(AU90,$AU$6:$AU$200)+COUNTIF($AU$6:AU90,AU90)-1,"")</f>
        <v/>
      </c>
    </row>
    <row r="91" spans="22:50" x14ac:dyDescent="0.35">
      <c r="V91" s="40" t="str">
        <f t="shared" si="8"/>
        <v>--</v>
      </c>
      <c r="W91" s="40"/>
      <c r="AT91" s="27"/>
      <c r="AU91" s="34" t="str">
        <f>IF(ISBLANK(AT91),"",SUMIFS(Table1[Amount $],Table1[Amount $],"&lt;"&amp;0,Table1[Merchant],Snapshot!AT91,Table1[Month],Snapshot!$W$4)*-1)</f>
        <v/>
      </c>
      <c r="AV91" s="27" t="str">
        <f>IF(ISBLANK(AT91),"",COUNTIFS(Table1[Merchant],Snapshot!AT91,Table1[Month],Snapshot!$W$4))</f>
        <v/>
      </c>
      <c r="AW91" s="27" t="str">
        <f>IFERROR(RANK(AV91,$AV$6:$AV$200)+COUNTIF($AV$6:AV91,AV91)-1,"")</f>
        <v/>
      </c>
      <c r="AX91" s="27" t="str">
        <f>IFERROR(RANK(AU91,$AU$6:$AU$200)+COUNTIF($AU$6:AU91,AU91)-1,"")</f>
        <v/>
      </c>
    </row>
    <row r="92" spans="22:50" x14ac:dyDescent="0.35">
      <c r="V92" s="40" t="str">
        <f t="shared" si="8"/>
        <v>--</v>
      </c>
      <c r="W92" s="40"/>
      <c r="AT92" s="27"/>
      <c r="AU92" s="34" t="str">
        <f>IF(ISBLANK(AT92),"",SUMIFS(Table1[Amount $],Table1[Amount $],"&lt;"&amp;0,Table1[Merchant],Snapshot!AT92,Table1[Month],Snapshot!$W$4)*-1)</f>
        <v/>
      </c>
      <c r="AV92" s="27" t="str">
        <f>IF(ISBLANK(AT92),"",COUNTIFS(Table1[Merchant],Snapshot!AT92,Table1[Month],Snapshot!$W$4))</f>
        <v/>
      </c>
      <c r="AW92" s="27" t="str">
        <f>IFERROR(RANK(AV92,$AV$6:$AV$200)+COUNTIF($AV$6:AV92,AV92)-1,"")</f>
        <v/>
      </c>
      <c r="AX92" s="27" t="str">
        <f>IFERROR(RANK(AU92,$AU$6:$AU$200)+COUNTIF($AU$6:AU92,AU92)-1,"")</f>
        <v/>
      </c>
    </row>
    <row r="93" spans="22:50" x14ac:dyDescent="0.35">
      <c r="V93" s="40" t="str">
        <f t="shared" si="8"/>
        <v>--</v>
      </c>
      <c r="W93" s="40"/>
      <c r="AT93" s="27"/>
      <c r="AU93" s="34" t="str">
        <f>IF(ISBLANK(AT93),"",SUMIFS(Table1[Amount $],Table1[Amount $],"&lt;"&amp;0,Table1[Merchant],Snapshot!AT93,Table1[Month],Snapshot!$W$4)*-1)</f>
        <v/>
      </c>
      <c r="AV93" s="27" t="str">
        <f>IF(ISBLANK(AT93),"",COUNTIFS(Table1[Merchant],Snapshot!AT93,Table1[Month],Snapshot!$W$4))</f>
        <v/>
      </c>
      <c r="AW93" s="27" t="str">
        <f>IFERROR(RANK(AV93,$AV$6:$AV$200)+COUNTIF($AV$6:AV93,AV93)-1,"")</f>
        <v/>
      </c>
      <c r="AX93" s="27" t="str">
        <f>IFERROR(RANK(AU93,$AU$6:$AU$200)+COUNTIF($AU$6:AU93,AU93)-1,"")</f>
        <v/>
      </c>
    </row>
    <row r="94" spans="22:50" x14ac:dyDescent="0.35">
      <c r="V94" s="40" t="str">
        <f t="shared" si="8"/>
        <v>--</v>
      </c>
      <c r="W94" s="40"/>
      <c r="AT94" s="27"/>
      <c r="AU94" s="34" t="str">
        <f>IF(ISBLANK(AT94),"",SUMIFS(Table1[Amount $],Table1[Amount $],"&lt;"&amp;0,Table1[Merchant],Snapshot!AT94,Table1[Month],Snapshot!$W$4)*-1)</f>
        <v/>
      </c>
      <c r="AV94" s="27" t="str">
        <f>IF(ISBLANK(AT94),"",COUNTIFS(Table1[Merchant],Snapshot!AT94,Table1[Month],Snapshot!$W$4))</f>
        <v/>
      </c>
      <c r="AW94" s="27" t="str">
        <f>IFERROR(RANK(AV94,$AV$6:$AV$200)+COUNTIF($AV$6:AV94,AV94)-1,"")</f>
        <v/>
      </c>
      <c r="AX94" s="27" t="str">
        <f>IFERROR(RANK(AU94,$AU$6:$AU$200)+COUNTIF($AU$6:AU94,AU94)-1,"")</f>
        <v/>
      </c>
    </row>
    <row r="95" spans="22:50" x14ac:dyDescent="0.35">
      <c r="V95" s="40" t="str">
        <f t="shared" si="8"/>
        <v>--</v>
      </c>
      <c r="W95" s="40"/>
      <c r="AT95" s="27"/>
      <c r="AU95" s="34" t="str">
        <f>IF(ISBLANK(AT95),"",SUMIFS(Table1[Amount $],Table1[Amount $],"&lt;"&amp;0,Table1[Merchant],Snapshot!AT95,Table1[Month],Snapshot!$W$4)*-1)</f>
        <v/>
      </c>
      <c r="AV95" s="27" t="str">
        <f>IF(ISBLANK(AT95),"",COUNTIFS(Table1[Merchant],Snapshot!AT95,Table1[Month],Snapshot!$W$4))</f>
        <v/>
      </c>
      <c r="AW95" s="27" t="str">
        <f>IFERROR(RANK(AV95,$AV$6:$AV$200)+COUNTIF($AV$6:AV95,AV95)-1,"")</f>
        <v/>
      </c>
      <c r="AX95" s="27" t="str">
        <f>IFERROR(RANK(AU95,$AU$6:$AU$200)+COUNTIF($AU$6:AU95,AU95)-1,"")</f>
        <v/>
      </c>
    </row>
    <row r="96" spans="22:50" x14ac:dyDescent="0.35">
      <c r="V96" s="40" t="str">
        <f t="shared" si="8"/>
        <v>--</v>
      </c>
      <c r="W96" s="40"/>
      <c r="AT96" s="27"/>
      <c r="AU96" s="34" t="str">
        <f>IF(ISBLANK(AT96),"",SUMIFS(Table1[Amount $],Table1[Amount $],"&lt;"&amp;0,Table1[Merchant],Snapshot!AT96,Table1[Month],Snapshot!$W$4)*-1)</f>
        <v/>
      </c>
      <c r="AV96" s="27" t="str">
        <f>IF(ISBLANK(AT96),"",COUNTIFS(Table1[Merchant],Snapshot!AT96,Table1[Month],Snapshot!$W$4))</f>
        <v/>
      </c>
      <c r="AW96" s="27" t="str">
        <f>IFERROR(RANK(AV96,$AV$6:$AV$200)+COUNTIF($AV$6:AV96,AV96)-1,"")</f>
        <v/>
      </c>
      <c r="AX96" s="27" t="str">
        <f>IFERROR(RANK(AU96,$AU$6:$AU$200)+COUNTIF($AU$6:AU96,AU96)-1,"")</f>
        <v/>
      </c>
    </row>
    <row r="97" spans="22:50" x14ac:dyDescent="0.35">
      <c r="V97" s="40" t="str">
        <f t="shared" si="8"/>
        <v>--</v>
      </c>
      <c r="W97" s="40"/>
      <c r="AT97" s="27"/>
      <c r="AU97" s="34" t="str">
        <f>IF(ISBLANK(AT97),"",SUMIFS(Table1[Amount $],Table1[Amount $],"&lt;"&amp;0,Table1[Merchant],Snapshot!AT97,Table1[Month],Snapshot!$W$4)*-1)</f>
        <v/>
      </c>
      <c r="AV97" s="27" t="str">
        <f>IF(ISBLANK(AT97),"",COUNTIFS(Table1[Merchant],Snapshot!AT97,Table1[Month],Snapshot!$W$4))</f>
        <v/>
      </c>
      <c r="AW97" s="27" t="str">
        <f>IFERROR(RANK(AV97,$AV$6:$AV$200)+COUNTIF($AV$6:AV97,AV97)-1,"")</f>
        <v/>
      </c>
      <c r="AX97" s="27" t="str">
        <f>IFERROR(RANK(AU97,$AU$6:$AU$200)+COUNTIF($AU$6:AU97,AU97)-1,"")</f>
        <v/>
      </c>
    </row>
    <row r="98" spans="22:50" x14ac:dyDescent="0.35">
      <c r="V98" s="40" t="str">
        <f t="shared" si="8"/>
        <v>--</v>
      </c>
      <c r="W98" s="40"/>
      <c r="AT98" s="27"/>
      <c r="AU98" s="34" t="str">
        <f>IF(ISBLANK(AT98),"",SUMIFS(Table1[Amount $],Table1[Amount $],"&lt;"&amp;0,Table1[Merchant],Snapshot!AT98,Table1[Month],Snapshot!$W$4)*-1)</f>
        <v/>
      </c>
      <c r="AV98" s="27" t="str">
        <f>IF(ISBLANK(AT98),"",COUNTIFS(Table1[Merchant],Snapshot!AT98,Table1[Month],Snapshot!$W$4))</f>
        <v/>
      </c>
      <c r="AW98" s="27" t="str">
        <f>IFERROR(RANK(AV98,$AV$6:$AV$200)+COUNTIF($AV$6:AV98,AV98)-1,"")</f>
        <v/>
      </c>
      <c r="AX98" s="27" t="str">
        <f>IFERROR(RANK(AU98,$AU$6:$AU$200)+COUNTIF($AU$6:AU98,AU98)-1,"")</f>
        <v/>
      </c>
    </row>
    <row r="99" spans="22:50" x14ac:dyDescent="0.35">
      <c r="V99" s="40" t="str">
        <f t="shared" si="8"/>
        <v>--</v>
      </c>
      <c r="W99" s="40"/>
      <c r="AT99" s="27"/>
      <c r="AU99" s="34" t="str">
        <f>IF(ISBLANK(AT99),"",SUMIFS(Table1[Amount $],Table1[Amount $],"&lt;"&amp;0,Table1[Merchant],Snapshot!AT99,Table1[Month],Snapshot!$W$4)*-1)</f>
        <v/>
      </c>
      <c r="AV99" s="27" t="str">
        <f>IF(ISBLANK(AT99),"",COUNTIFS(Table1[Merchant],Snapshot!AT99,Table1[Month],Snapshot!$W$4))</f>
        <v/>
      </c>
      <c r="AW99" s="27" t="str">
        <f>IFERROR(RANK(AV99,$AV$6:$AV$200)+COUNTIF($AV$6:AV99,AV99)-1,"")</f>
        <v/>
      </c>
      <c r="AX99" s="27" t="str">
        <f>IFERROR(RANK(AU99,$AU$6:$AU$200)+COUNTIF($AU$6:AU99,AU99)-1,"")</f>
        <v/>
      </c>
    </row>
    <row r="100" spans="22:50" x14ac:dyDescent="0.35">
      <c r="V100" s="40" t="str">
        <f t="shared" ref="V100:V105" si="9">IF(ISBLANK(W100),"--",TEXT(W100,"mmmm")&amp;" "&amp;TEXT(W100,"YYYY"))</f>
        <v>--</v>
      </c>
      <c r="W100" s="40"/>
      <c r="AT100" s="27"/>
      <c r="AU100" s="34" t="str">
        <f>IF(ISBLANK(AT100),"",SUMIFS(Table1[Amount $],Table1[Amount $],"&lt;"&amp;0,Table1[Merchant],Snapshot!AT100,Table1[Month],Snapshot!$W$4)*-1)</f>
        <v/>
      </c>
      <c r="AV100" s="27" t="str">
        <f>IF(ISBLANK(AT100),"",COUNTIFS(Table1[Merchant],Snapshot!AT100,Table1[Month],Snapshot!$W$4))</f>
        <v/>
      </c>
      <c r="AW100" s="27" t="str">
        <f>IFERROR(RANK(AV100,$AV$6:$AV$200)+COUNTIF($AV$6:AV100,AV100)-1,"")</f>
        <v/>
      </c>
      <c r="AX100" s="27" t="str">
        <f>IFERROR(RANK(AU100,$AU$6:$AU$200)+COUNTIF($AU$6:AU100,AU100)-1,"")</f>
        <v/>
      </c>
    </row>
    <row r="101" spans="22:50" x14ac:dyDescent="0.35">
      <c r="V101" s="40" t="str">
        <f t="shared" si="9"/>
        <v>--</v>
      </c>
      <c r="W101" s="40"/>
      <c r="AT101" s="27"/>
      <c r="AU101" s="34" t="str">
        <f>IF(ISBLANK(AT101),"",SUMIFS(Table1[Amount $],Table1[Amount $],"&lt;"&amp;0,Table1[Merchant],Snapshot!AT101,Table1[Month],Snapshot!$W$4)*-1)</f>
        <v/>
      </c>
      <c r="AV101" s="27" t="str">
        <f>IF(ISBLANK(AT101),"",COUNTIFS(Table1[Merchant],Snapshot!AT101,Table1[Month],Snapshot!$W$4))</f>
        <v/>
      </c>
      <c r="AW101" s="27" t="str">
        <f>IFERROR(RANK(AV101,$AV$6:$AV$200)+COUNTIF($AV$6:AV101,AV101)-1,"")</f>
        <v/>
      </c>
      <c r="AX101" s="27" t="str">
        <f>IFERROR(RANK(AU101,$AU$6:$AU$200)+COUNTIF($AU$6:AU101,AU101)-1,"")</f>
        <v/>
      </c>
    </row>
    <row r="102" spans="22:50" x14ac:dyDescent="0.35">
      <c r="V102" s="40" t="str">
        <f t="shared" si="9"/>
        <v>--</v>
      </c>
      <c r="W102" s="40"/>
      <c r="AT102" s="27"/>
      <c r="AU102" s="34" t="str">
        <f>IF(ISBLANK(AT102),"",SUMIFS(Table1[Amount $],Table1[Amount $],"&lt;"&amp;0,Table1[Merchant],Snapshot!AT102,Table1[Month],Snapshot!$W$4)*-1)</f>
        <v/>
      </c>
      <c r="AV102" s="27" t="str">
        <f>IF(ISBLANK(AT102),"",COUNTIFS(Table1[Merchant],Snapshot!AT102,Table1[Month],Snapshot!$W$4))</f>
        <v/>
      </c>
      <c r="AW102" s="27" t="str">
        <f>IFERROR(RANK(AV102,$AV$6:$AV$200)+COUNTIF($AV$6:AV102,AV102)-1,"")</f>
        <v/>
      </c>
      <c r="AX102" s="27" t="str">
        <f>IFERROR(RANK(AU102,$AU$6:$AU$200)+COUNTIF($AU$6:AU102,AU102)-1,"")</f>
        <v/>
      </c>
    </row>
    <row r="103" spans="22:50" x14ac:dyDescent="0.35">
      <c r="V103" s="40" t="str">
        <f t="shared" si="9"/>
        <v>--</v>
      </c>
      <c r="W103" s="40"/>
      <c r="AT103" s="27"/>
      <c r="AU103" s="34" t="str">
        <f>IF(ISBLANK(AT103),"",SUMIFS(Table1[Amount $],Table1[Amount $],"&lt;"&amp;0,Table1[Merchant],Snapshot!AT103,Table1[Month],Snapshot!$W$4)*-1)</f>
        <v/>
      </c>
      <c r="AV103" s="27" t="str">
        <f>IF(ISBLANK(AT103),"",COUNTIFS(Table1[Merchant],Snapshot!AT103,Table1[Month],Snapshot!$W$4))</f>
        <v/>
      </c>
      <c r="AW103" s="27" t="str">
        <f>IFERROR(RANK(AV103,$AV$6:$AV$200)+COUNTIF($AV$6:AV103,AV103)-1,"")</f>
        <v/>
      </c>
      <c r="AX103" s="27" t="str">
        <f>IFERROR(RANK(AU103,$AU$6:$AU$200)+COUNTIF($AU$6:AU103,AU103)-1,"")</f>
        <v/>
      </c>
    </row>
    <row r="104" spans="22:50" x14ac:dyDescent="0.35">
      <c r="V104" s="40" t="str">
        <f t="shared" si="9"/>
        <v>--</v>
      </c>
      <c r="W104" s="40"/>
      <c r="AT104" s="27"/>
      <c r="AU104" s="34" t="str">
        <f>IF(ISBLANK(AT104),"",SUMIFS(Table1[Amount $],Table1[Amount $],"&lt;"&amp;0,Table1[Merchant],Snapshot!AT104,Table1[Month],Snapshot!$W$4)*-1)</f>
        <v/>
      </c>
      <c r="AV104" s="27" t="str">
        <f>IF(ISBLANK(AT104),"",COUNTIFS(Table1[Merchant],Snapshot!AT104,Table1[Month],Snapshot!$W$4))</f>
        <v/>
      </c>
      <c r="AW104" s="27" t="str">
        <f>IFERROR(RANK(AV104,$AV$6:$AV$200)+COUNTIF($AV$6:AV104,AV104)-1,"")</f>
        <v/>
      </c>
      <c r="AX104" s="27" t="str">
        <f>IFERROR(RANK(AU104,$AU$6:$AU$200)+COUNTIF($AU$6:AU104,AU104)-1,"")</f>
        <v/>
      </c>
    </row>
    <row r="105" spans="22:50" x14ac:dyDescent="0.35">
      <c r="V105" s="40" t="str">
        <f t="shared" si="9"/>
        <v>--</v>
      </c>
      <c r="W105" s="40"/>
      <c r="AT105" s="27"/>
      <c r="AU105" s="34" t="str">
        <f>IF(ISBLANK(AT105),"",SUMIFS(Table1[Amount $],Table1[Amount $],"&lt;"&amp;0,Table1[Merchant],Snapshot!AT105,Table1[Month],Snapshot!$W$4)*-1)</f>
        <v/>
      </c>
      <c r="AV105" s="27" t="str">
        <f>IF(ISBLANK(AT105),"",COUNTIFS(Table1[Merchant],Snapshot!AT105,Table1[Month],Snapshot!$W$4))</f>
        <v/>
      </c>
      <c r="AW105" s="27" t="str">
        <f>IFERROR(RANK(AV105,$AV$6:$AV$200)+COUNTIF($AV$6:AV105,AV105)-1,"")</f>
        <v/>
      </c>
      <c r="AX105" s="27" t="str">
        <f>IFERROR(RANK(AU105,$AU$6:$AU$200)+COUNTIF($AU$6:AU105,AU105)-1,"")</f>
        <v/>
      </c>
    </row>
    <row r="106" spans="22:50" x14ac:dyDescent="0.35">
      <c r="V106" s="40" t="str">
        <f t="shared" ref="V106:V169" si="10">IF(ISBLANK(W106),"--",TEXT(W106,"mmmm")&amp;" "&amp;TEXT(W106,"YYYY"))</f>
        <v>--</v>
      </c>
      <c r="W106" s="40"/>
      <c r="AT106" s="27"/>
      <c r="AU106" s="34" t="str">
        <f>IF(ISBLANK(AT106),"",SUMIFS(Table1[Amount $],Table1[Amount $],"&lt;"&amp;0,Table1[Merchant],Snapshot!AT106,Table1[Month],Snapshot!$W$4)*-1)</f>
        <v/>
      </c>
      <c r="AV106" s="27" t="str">
        <f>IF(ISBLANK(AT106),"",COUNTIFS(Table1[Merchant],Snapshot!AT106,Table1[Month],Snapshot!$W$4))</f>
        <v/>
      </c>
      <c r="AW106" s="27" t="str">
        <f>IFERROR(RANK(AV106,$AV$6:$AV$200)+COUNTIF($AV$6:AV106,AV106)-1,"")</f>
        <v/>
      </c>
      <c r="AX106" s="27" t="str">
        <f>IFERROR(RANK(AU106,$AU$6:$AU$200)+COUNTIF($AU$6:AU106,AU106)-1,"")</f>
        <v/>
      </c>
    </row>
    <row r="107" spans="22:50" x14ac:dyDescent="0.35">
      <c r="V107" s="40" t="str">
        <f t="shared" si="10"/>
        <v>--</v>
      </c>
      <c r="W107" s="40"/>
      <c r="AT107" s="27"/>
      <c r="AU107" s="34" t="str">
        <f>IF(ISBLANK(AT107),"",SUMIFS(Table1[Amount $],Table1[Amount $],"&lt;"&amp;0,Table1[Merchant],Snapshot!AT107,Table1[Month],Snapshot!$W$4)*-1)</f>
        <v/>
      </c>
      <c r="AV107" s="27" t="str">
        <f>IF(ISBLANK(AT107),"",COUNTIFS(Table1[Merchant],Snapshot!AT107,Table1[Month],Snapshot!$W$4))</f>
        <v/>
      </c>
      <c r="AW107" s="27" t="str">
        <f>IFERROR(RANK(AV107,$AV$6:$AV$200)+COUNTIF($AV$6:AV107,AV107)-1,"")</f>
        <v/>
      </c>
      <c r="AX107" s="27" t="str">
        <f>IFERROR(RANK(AU107,$AU$6:$AU$200)+COUNTIF($AU$6:AU107,AU107)-1,"")</f>
        <v/>
      </c>
    </row>
    <row r="108" spans="22:50" x14ac:dyDescent="0.35">
      <c r="V108" s="40" t="str">
        <f t="shared" si="10"/>
        <v>--</v>
      </c>
      <c r="W108" s="40"/>
      <c r="AT108" s="27"/>
      <c r="AU108" s="34" t="str">
        <f>IF(ISBLANK(AT108),"",SUMIFS(Table1[Amount $],Table1[Amount $],"&lt;"&amp;0,Table1[Merchant],Snapshot!AT108,Table1[Month],Snapshot!$W$4)*-1)</f>
        <v/>
      </c>
      <c r="AV108" s="27" t="str">
        <f>IF(ISBLANK(AT108),"",COUNTIFS(Table1[Merchant],Snapshot!AT108,Table1[Month],Snapshot!$W$4))</f>
        <v/>
      </c>
      <c r="AW108" s="27" t="str">
        <f>IFERROR(RANK(AV108,$AV$6:$AV$200)+COUNTIF($AV$6:AV108,AV108)-1,"")</f>
        <v/>
      </c>
      <c r="AX108" s="27" t="str">
        <f>IFERROR(RANK(AU108,$AU$6:$AU$200)+COUNTIF($AU$6:AU108,AU108)-1,"")</f>
        <v/>
      </c>
    </row>
    <row r="109" spans="22:50" x14ac:dyDescent="0.35">
      <c r="V109" s="40" t="str">
        <f t="shared" si="10"/>
        <v>--</v>
      </c>
      <c r="W109" s="40"/>
      <c r="AT109" s="27"/>
      <c r="AU109" s="34" t="str">
        <f>IF(ISBLANK(AT109),"",SUMIFS(Table1[Amount $],Table1[Amount $],"&lt;"&amp;0,Table1[Merchant],Snapshot!AT109,Table1[Month],Snapshot!$W$4)*-1)</f>
        <v/>
      </c>
      <c r="AV109" s="27" t="str">
        <f>IF(ISBLANK(AT109),"",COUNTIFS(Table1[Merchant],Snapshot!AT109,Table1[Month],Snapshot!$W$4))</f>
        <v/>
      </c>
      <c r="AW109" s="27" t="str">
        <f>IFERROR(RANK(AV109,$AV$6:$AV$200)+COUNTIF($AV$6:AV109,AV109)-1,"")</f>
        <v/>
      </c>
      <c r="AX109" s="27" t="str">
        <f>IFERROR(RANK(AU109,$AU$6:$AU$200)+COUNTIF($AU$6:AU109,AU109)-1,"")</f>
        <v/>
      </c>
    </row>
    <row r="110" spans="22:50" x14ac:dyDescent="0.35">
      <c r="V110" s="40" t="str">
        <f t="shared" si="10"/>
        <v>--</v>
      </c>
      <c r="W110" s="40"/>
      <c r="AT110" s="27"/>
      <c r="AU110" s="34" t="str">
        <f>IF(ISBLANK(AT110),"",SUMIFS(Table1[Amount $],Table1[Amount $],"&lt;"&amp;0,Table1[Merchant],Snapshot!AT110,Table1[Month],Snapshot!$W$4)*-1)</f>
        <v/>
      </c>
      <c r="AV110" s="27" t="str">
        <f>IF(ISBLANK(AT110),"",COUNTIFS(Table1[Merchant],Snapshot!AT110,Table1[Month],Snapshot!$W$4))</f>
        <v/>
      </c>
      <c r="AW110" s="27" t="str">
        <f>IFERROR(RANK(AV110,$AV$6:$AV$200)+COUNTIF($AV$6:AV110,AV110)-1,"")</f>
        <v/>
      </c>
      <c r="AX110" s="27" t="str">
        <f>IFERROR(RANK(AU110,$AU$6:$AU$200)+COUNTIF($AU$6:AU110,AU110)-1,"")</f>
        <v/>
      </c>
    </row>
    <row r="111" spans="22:50" x14ac:dyDescent="0.35">
      <c r="V111" s="40" t="str">
        <f t="shared" si="10"/>
        <v>--</v>
      </c>
      <c r="W111" s="40"/>
      <c r="AT111" s="27"/>
      <c r="AU111" s="34" t="str">
        <f>IF(ISBLANK(AT111),"",SUMIFS(Table1[Amount $],Table1[Amount $],"&lt;"&amp;0,Table1[Merchant],Snapshot!AT111,Table1[Month],Snapshot!$W$4)*-1)</f>
        <v/>
      </c>
      <c r="AV111" s="27" t="str">
        <f>IF(ISBLANK(AT111),"",COUNTIFS(Table1[Merchant],Snapshot!AT111,Table1[Month],Snapshot!$W$4))</f>
        <v/>
      </c>
      <c r="AW111" s="27" t="str">
        <f>IFERROR(RANK(AV111,$AV$6:$AV$200)+COUNTIF($AV$6:AV111,AV111)-1,"")</f>
        <v/>
      </c>
      <c r="AX111" s="27" t="str">
        <f>IFERROR(RANK(AU111,$AU$6:$AU$200)+COUNTIF($AU$6:AU111,AU111)-1,"")</f>
        <v/>
      </c>
    </row>
    <row r="112" spans="22:50" x14ac:dyDescent="0.35">
      <c r="V112" s="40" t="str">
        <f t="shared" si="10"/>
        <v>--</v>
      </c>
      <c r="W112" s="40"/>
      <c r="AT112" s="27"/>
      <c r="AU112" s="34" t="str">
        <f>IF(ISBLANK(AT112),"",SUMIFS(Table1[Amount $],Table1[Amount $],"&lt;"&amp;0,Table1[Merchant],Snapshot!AT112,Table1[Month],Snapshot!$W$4)*-1)</f>
        <v/>
      </c>
      <c r="AV112" s="27" t="str">
        <f>IF(ISBLANK(AT112),"",COUNTIFS(Table1[Merchant],Snapshot!AT112,Table1[Month],Snapshot!$W$4))</f>
        <v/>
      </c>
      <c r="AW112" s="27" t="str">
        <f>IFERROR(RANK(AV112,$AV$6:$AV$200)+COUNTIF($AV$6:AV112,AV112)-1,"")</f>
        <v/>
      </c>
      <c r="AX112" s="27" t="str">
        <f>IFERROR(RANK(AU112,$AU$6:$AU$200)+COUNTIF($AU$6:AU112,AU112)-1,"")</f>
        <v/>
      </c>
    </row>
    <row r="113" spans="22:50" x14ac:dyDescent="0.35">
      <c r="V113" s="40" t="str">
        <f t="shared" si="10"/>
        <v>--</v>
      </c>
      <c r="W113" s="40"/>
      <c r="AT113" s="27"/>
      <c r="AU113" s="34" t="str">
        <f>IF(ISBLANK(AT113),"",SUMIFS(Table1[Amount $],Table1[Amount $],"&lt;"&amp;0,Table1[Merchant],Snapshot!AT113,Table1[Month],Snapshot!$W$4)*-1)</f>
        <v/>
      </c>
      <c r="AV113" s="27" t="str">
        <f>IF(ISBLANK(AT113),"",COUNTIFS(Table1[Merchant],Snapshot!AT113,Table1[Month],Snapshot!$W$4))</f>
        <v/>
      </c>
      <c r="AW113" s="27" t="str">
        <f>IFERROR(RANK(AV113,$AV$6:$AV$200)+COUNTIF($AV$6:AV113,AV113)-1,"")</f>
        <v/>
      </c>
      <c r="AX113" s="27" t="str">
        <f>IFERROR(RANK(AU113,$AU$6:$AU$200)+COUNTIF($AU$6:AU113,AU113)-1,"")</f>
        <v/>
      </c>
    </row>
    <row r="114" spans="22:50" x14ac:dyDescent="0.35">
      <c r="V114" s="40" t="str">
        <f t="shared" si="10"/>
        <v>--</v>
      </c>
      <c r="W114" s="40"/>
      <c r="AT114" s="27"/>
      <c r="AU114" s="34" t="str">
        <f>IF(ISBLANK(AT114),"",SUMIFS(Table1[Amount $],Table1[Amount $],"&lt;"&amp;0,Table1[Merchant],Snapshot!AT114,Table1[Month],Snapshot!$W$4)*-1)</f>
        <v/>
      </c>
      <c r="AV114" s="27" t="str">
        <f>IF(ISBLANK(AT114),"",COUNTIFS(Table1[Merchant],Snapshot!AT114,Table1[Month],Snapshot!$W$4))</f>
        <v/>
      </c>
      <c r="AW114" s="27" t="str">
        <f>IFERROR(RANK(AV114,$AV$6:$AV$200)+COUNTIF($AV$6:AV114,AV114)-1,"")</f>
        <v/>
      </c>
      <c r="AX114" s="27" t="str">
        <f>IFERROR(RANK(AU114,$AU$6:$AU$200)+COUNTIF($AU$6:AU114,AU114)-1,"")</f>
        <v/>
      </c>
    </row>
    <row r="115" spans="22:50" x14ac:dyDescent="0.35">
      <c r="V115" s="40" t="str">
        <f t="shared" si="10"/>
        <v>--</v>
      </c>
      <c r="W115" s="40"/>
      <c r="AT115" s="27"/>
      <c r="AU115" s="34" t="str">
        <f>IF(ISBLANK(AT115),"",SUMIFS(Table1[Amount $],Table1[Amount $],"&lt;"&amp;0,Table1[Merchant],Snapshot!AT115,Table1[Month],Snapshot!$W$4)*-1)</f>
        <v/>
      </c>
      <c r="AV115" s="27" t="str">
        <f>IF(ISBLANK(AT115),"",COUNTIFS(Table1[Merchant],Snapshot!AT115,Table1[Month],Snapshot!$W$4))</f>
        <v/>
      </c>
      <c r="AW115" s="27" t="str">
        <f>IFERROR(RANK(AV115,$AV$6:$AV$200)+COUNTIF($AV$6:AV115,AV115)-1,"")</f>
        <v/>
      </c>
      <c r="AX115" s="27" t="str">
        <f>IFERROR(RANK(AU115,$AU$6:$AU$200)+COUNTIF($AU$6:AU115,AU115)-1,"")</f>
        <v/>
      </c>
    </row>
    <row r="116" spans="22:50" x14ac:dyDescent="0.35">
      <c r="V116" s="40" t="str">
        <f t="shared" si="10"/>
        <v>--</v>
      </c>
      <c r="W116" s="40"/>
      <c r="AT116" s="27"/>
      <c r="AU116" s="34" t="str">
        <f>IF(ISBLANK(AT116),"",SUMIFS(Table1[Amount $],Table1[Amount $],"&lt;"&amp;0,Table1[Merchant],Snapshot!AT116,Table1[Month],Snapshot!$W$4)*-1)</f>
        <v/>
      </c>
      <c r="AV116" s="27" t="str">
        <f>IF(ISBLANK(AT116),"",COUNTIFS(Table1[Merchant],Snapshot!AT116,Table1[Month],Snapshot!$W$4))</f>
        <v/>
      </c>
      <c r="AW116" s="27" t="str">
        <f>IFERROR(RANK(AV116,$AV$6:$AV$200)+COUNTIF($AV$6:AV116,AV116)-1,"")</f>
        <v/>
      </c>
      <c r="AX116" s="27" t="str">
        <f>IFERROR(RANK(AU116,$AU$6:$AU$200)+COUNTIF($AU$6:AU116,AU116)-1,"")</f>
        <v/>
      </c>
    </row>
    <row r="117" spans="22:50" x14ac:dyDescent="0.35">
      <c r="V117" s="40" t="str">
        <f t="shared" si="10"/>
        <v>--</v>
      </c>
      <c r="W117" s="40"/>
      <c r="AT117" s="27"/>
      <c r="AU117" s="34" t="str">
        <f>IF(ISBLANK(AT117),"",SUMIFS(Table1[Amount $],Table1[Amount $],"&lt;"&amp;0,Table1[Merchant],Snapshot!AT117,Table1[Month],Snapshot!$W$4)*-1)</f>
        <v/>
      </c>
      <c r="AV117" s="27" t="str">
        <f>IF(ISBLANK(AT117),"",COUNTIFS(Table1[Merchant],Snapshot!AT117,Table1[Month],Snapshot!$W$4))</f>
        <v/>
      </c>
      <c r="AW117" s="27" t="str">
        <f>IFERROR(RANK(AV117,$AV$6:$AV$200)+COUNTIF($AV$6:AV117,AV117)-1,"")</f>
        <v/>
      </c>
      <c r="AX117" s="27" t="str">
        <f>IFERROR(RANK(AU117,$AU$6:$AU$200)+COUNTIF($AU$6:AU117,AU117)-1,"")</f>
        <v/>
      </c>
    </row>
    <row r="118" spans="22:50" x14ac:dyDescent="0.35">
      <c r="V118" s="40" t="str">
        <f t="shared" si="10"/>
        <v>--</v>
      </c>
      <c r="W118" s="40"/>
      <c r="AT118" s="27"/>
      <c r="AU118" s="34" t="str">
        <f>IF(ISBLANK(AT118),"",SUMIFS(Table1[Amount $],Table1[Amount $],"&lt;"&amp;0,Table1[Merchant],Snapshot!AT118,Table1[Month],Snapshot!$W$4)*-1)</f>
        <v/>
      </c>
      <c r="AV118" s="27" t="str">
        <f>IF(ISBLANK(AT118),"",COUNTIFS(Table1[Merchant],Snapshot!AT118,Table1[Month],Snapshot!$W$4))</f>
        <v/>
      </c>
      <c r="AW118" s="27" t="str">
        <f>IFERROR(RANK(AV118,$AV$6:$AV$200)+COUNTIF($AV$6:AV118,AV118)-1,"")</f>
        <v/>
      </c>
      <c r="AX118" s="27" t="str">
        <f>IFERROR(RANK(AU118,$AU$6:$AU$200)+COUNTIF($AU$6:AU118,AU118)-1,"")</f>
        <v/>
      </c>
    </row>
    <row r="119" spans="22:50" x14ac:dyDescent="0.35">
      <c r="V119" s="40" t="str">
        <f t="shared" si="10"/>
        <v>--</v>
      </c>
      <c r="W119" s="40"/>
      <c r="AT119" s="27"/>
      <c r="AU119" s="34" t="str">
        <f>IF(ISBLANK(AT119),"",SUMIFS(Table1[Amount $],Table1[Amount $],"&lt;"&amp;0,Table1[Merchant],Snapshot!AT119,Table1[Month],Snapshot!$W$4)*-1)</f>
        <v/>
      </c>
      <c r="AV119" s="27" t="str">
        <f>IF(ISBLANK(AT119),"",COUNTIFS(Table1[Merchant],Snapshot!AT119,Table1[Month],Snapshot!$W$4))</f>
        <v/>
      </c>
      <c r="AW119" s="27" t="str">
        <f>IFERROR(RANK(AV119,$AV$6:$AV$200)+COUNTIF($AV$6:AV119,AV119)-1,"")</f>
        <v/>
      </c>
      <c r="AX119" s="27" t="str">
        <f>IFERROR(RANK(AU119,$AU$6:$AU$200)+COUNTIF($AU$6:AU119,AU119)-1,"")</f>
        <v/>
      </c>
    </row>
    <row r="120" spans="22:50" x14ac:dyDescent="0.35">
      <c r="V120" s="40" t="str">
        <f t="shared" si="10"/>
        <v>--</v>
      </c>
      <c r="W120" s="40"/>
      <c r="AT120" s="27"/>
      <c r="AU120" s="34" t="str">
        <f>IF(ISBLANK(AT120),"",SUMIFS(Table1[Amount $],Table1[Amount $],"&lt;"&amp;0,Table1[Merchant],Snapshot!AT120,Table1[Month],Snapshot!$W$4)*-1)</f>
        <v/>
      </c>
      <c r="AV120" s="27" t="str">
        <f>IF(ISBLANK(AT120),"",COUNTIFS(Table1[Merchant],Snapshot!AT120,Table1[Month],Snapshot!$W$4))</f>
        <v/>
      </c>
      <c r="AW120" s="27" t="str">
        <f>IFERROR(RANK(AV120,$AV$6:$AV$200)+COUNTIF($AV$6:AV120,AV120)-1,"")</f>
        <v/>
      </c>
      <c r="AX120" s="27" t="str">
        <f>IFERROR(RANK(AU120,$AU$6:$AU$200)+COUNTIF($AU$6:AU120,AU120)-1,"")</f>
        <v/>
      </c>
    </row>
    <row r="121" spans="22:50" x14ac:dyDescent="0.35">
      <c r="V121" s="40" t="str">
        <f t="shared" si="10"/>
        <v>--</v>
      </c>
      <c r="W121" s="40"/>
      <c r="AT121" s="27"/>
      <c r="AU121" s="34" t="str">
        <f>IF(ISBLANK(AT121),"",SUMIFS(Table1[Amount $],Table1[Amount $],"&lt;"&amp;0,Table1[Merchant],Snapshot!AT121,Table1[Month],Snapshot!$W$4)*-1)</f>
        <v/>
      </c>
      <c r="AV121" s="27" t="str">
        <f>IF(ISBLANK(AT121),"",COUNTIFS(Table1[Merchant],Snapshot!AT121,Table1[Month],Snapshot!$W$4))</f>
        <v/>
      </c>
      <c r="AW121" s="27" t="str">
        <f>IFERROR(RANK(AV121,$AV$6:$AV$200)+COUNTIF($AV$6:AV121,AV121)-1,"")</f>
        <v/>
      </c>
      <c r="AX121" s="27" t="str">
        <f>IFERROR(RANK(AU121,$AU$6:$AU$200)+COUNTIF($AU$6:AU121,AU121)-1,"")</f>
        <v/>
      </c>
    </row>
    <row r="122" spans="22:50" x14ac:dyDescent="0.35">
      <c r="V122" s="40" t="str">
        <f t="shared" si="10"/>
        <v>--</v>
      </c>
      <c r="W122" s="40"/>
      <c r="AT122" s="27"/>
      <c r="AU122" s="34" t="str">
        <f>IF(ISBLANK(AT122),"",SUMIFS(Table1[Amount $],Table1[Amount $],"&lt;"&amp;0,Table1[Merchant],Snapshot!AT122,Table1[Month],Snapshot!$W$4)*-1)</f>
        <v/>
      </c>
      <c r="AV122" s="27" t="str">
        <f>IF(ISBLANK(AT122),"",COUNTIFS(Table1[Merchant],Snapshot!AT122,Table1[Month],Snapshot!$W$4))</f>
        <v/>
      </c>
      <c r="AW122" s="27" t="str">
        <f>IFERROR(RANK(AV122,$AV$6:$AV$200)+COUNTIF($AV$6:AV122,AV122)-1,"")</f>
        <v/>
      </c>
      <c r="AX122" s="27" t="str">
        <f>IFERROR(RANK(AU122,$AU$6:$AU$200)+COUNTIF($AU$6:AU122,AU122)-1,"")</f>
        <v/>
      </c>
    </row>
    <row r="123" spans="22:50" x14ac:dyDescent="0.35">
      <c r="V123" s="40" t="str">
        <f t="shared" si="10"/>
        <v>--</v>
      </c>
      <c r="W123" s="40"/>
      <c r="AT123" s="27"/>
      <c r="AU123" s="34" t="str">
        <f>IF(ISBLANK(AT123),"",SUMIFS(Table1[Amount $],Table1[Amount $],"&lt;"&amp;0,Table1[Merchant],Snapshot!AT123,Table1[Month],Snapshot!$W$4)*-1)</f>
        <v/>
      </c>
      <c r="AV123" s="27" t="str">
        <f>IF(ISBLANK(AT123),"",COUNTIFS(Table1[Merchant],Snapshot!AT123,Table1[Month],Snapshot!$W$4))</f>
        <v/>
      </c>
      <c r="AW123" s="27" t="str">
        <f>IFERROR(RANK(AV123,$AV$6:$AV$200)+COUNTIF($AV$6:AV123,AV123)-1,"")</f>
        <v/>
      </c>
      <c r="AX123" s="27" t="str">
        <f>IFERROR(RANK(AU123,$AU$6:$AU$200)+COUNTIF($AU$6:AU123,AU123)-1,"")</f>
        <v/>
      </c>
    </row>
    <row r="124" spans="22:50" x14ac:dyDescent="0.35">
      <c r="V124" s="40" t="str">
        <f t="shared" si="10"/>
        <v>--</v>
      </c>
      <c r="W124" s="40"/>
      <c r="AT124" s="27"/>
      <c r="AU124" s="34" t="str">
        <f>IF(ISBLANK(AT124),"",SUMIFS(Table1[Amount $],Table1[Amount $],"&lt;"&amp;0,Table1[Merchant],Snapshot!AT124,Table1[Month],Snapshot!$W$4)*-1)</f>
        <v/>
      </c>
      <c r="AV124" s="27" t="str">
        <f>IF(ISBLANK(AT124),"",COUNTIFS(Table1[Merchant],Snapshot!AT124,Table1[Month],Snapshot!$W$4))</f>
        <v/>
      </c>
      <c r="AW124" s="27" t="str">
        <f>IFERROR(RANK(AV124,$AV$6:$AV$200)+COUNTIF($AV$6:AV124,AV124)-1,"")</f>
        <v/>
      </c>
      <c r="AX124" s="27" t="str">
        <f>IFERROR(RANK(AU124,$AU$6:$AU$200)+COUNTIF($AU$6:AU124,AU124)-1,"")</f>
        <v/>
      </c>
    </row>
    <row r="125" spans="22:50" x14ac:dyDescent="0.35">
      <c r="V125" s="40" t="str">
        <f t="shared" si="10"/>
        <v>--</v>
      </c>
      <c r="W125" s="40"/>
      <c r="AT125" s="27"/>
      <c r="AU125" s="34" t="str">
        <f>IF(ISBLANK(AT125),"",SUMIFS(Table1[Amount $],Table1[Amount $],"&lt;"&amp;0,Table1[Merchant],Snapshot!AT125,Table1[Month],Snapshot!$W$4)*-1)</f>
        <v/>
      </c>
      <c r="AV125" s="27" t="str">
        <f>IF(ISBLANK(AT125),"",COUNTIFS(Table1[Merchant],Snapshot!AT125,Table1[Month],Snapshot!$W$4))</f>
        <v/>
      </c>
      <c r="AW125" s="27" t="str">
        <f>IFERROR(RANK(AV125,$AV$6:$AV$200)+COUNTIF($AV$6:AV125,AV125)-1,"")</f>
        <v/>
      </c>
      <c r="AX125" s="27" t="str">
        <f>IFERROR(RANK(AU125,$AU$6:$AU$200)+COUNTIF($AU$6:AU125,AU125)-1,"")</f>
        <v/>
      </c>
    </row>
    <row r="126" spans="22:50" x14ac:dyDescent="0.35">
      <c r="V126" s="40" t="str">
        <f t="shared" si="10"/>
        <v>--</v>
      </c>
      <c r="W126" s="40"/>
      <c r="AT126" s="27"/>
      <c r="AU126" s="34" t="str">
        <f>IF(ISBLANK(AT126),"",SUMIFS(Table1[Amount $],Table1[Amount $],"&lt;"&amp;0,Table1[Merchant],Snapshot!AT126,Table1[Month],Snapshot!$W$4)*-1)</f>
        <v/>
      </c>
      <c r="AV126" s="27" t="str">
        <f>IF(ISBLANK(AT126),"",COUNTIFS(Table1[Merchant],Snapshot!AT126,Table1[Month],Snapshot!$W$4))</f>
        <v/>
      </c>
      <c r="AW126" s="27" t="str">
        <f>IFERROR(RANK(AV126,$AV$6:$AV$200)+COUNTIF($AV$6:AV126,AV126)-1,"")</f>
        <v/>
      </c>
      <c r="AX126" s="27" t="str">
        <f>IFERROR(RANK(AU126,$AU$6:$AU$200)+COUNTIF($AU$6:AU126,AU126)-1,"")</f>
        <v/>
      </c>
    </row>
    <row r="127" spans="22:50" x14ac:dyDescent="0.35">
      <c r="V127" s="40" t="str">
        <f t="shared" si="10"/>
        <v>--</v>
      </c>
      <c r="W127" s="40"/>
      <c r="AT127" s="27"/>
      <c r="AU127" s="34" t="str">
        <f>IF(ISBLANK(AT127),"",SUMIFS(Table1[Amount $],Table1[Amount $],"&lt;"&amp;0,Table1[Merchant],Snapshot!AT127,Table1[Month],Snapshot!$W$4)*-1)</f>
        <v/>
      </c>
      <c r="AV127" s="27" t="str">
        <f>IF(ISBLANK(AT127),"",COUNTIFS(Table1[Merchant],Snapshot!AT127,Table1[Month],Snapshot!$W$4))</f>
        <v/>
      </c>
      <c r="AW127" s="27" t="str">
        <f>IFERROR(RANK(AV127,$AV$6:$AV$200)+COUNTIF($AV$6:AV127,AV127)-1,"")</f>
        <v/>
      </c>
      <c r="AX127" s="27" t="str">
        <f>IFERROR(RANK(AU127,$AU$6:$AU$200)+COUNTIF($AU$6:AU127,AU127)-1,"")</f>
        <v/>
      </c>
    </row>
    <row r="128" spans="22:50" x14ac:dyDescent="0.35">
      <c r="V128" s="40" t="str">
        <f t="shared" si="10"/>
        <v>--</v>
      </c>
      <c r="W128" s="40"/>
      <c r="AT128" s="27"/>
      <c r="AU128" s="34" t="str">
        <f>IF(ISBLANK(AT128),"",SUMIFS(Table1[Amount $],Table1[Amount $],"&lt;"&amp;0,Table1[Merchant],Snapshot!AT128,Table1[Month],Snapshot!$W$4)*-1)</f>
        <v/>
      </c>
      <c r="AV128" s="27" t="str">
        <f>IF(ISBLANK(AT128),"",COUNTIFS(Table1[Merchant],Snapshot!AT128,Table1[Month],Snapshot!$W$4))</f>
        <v/>
      </c>
      <c r="AW128" s="27" t="str">
        <f>IFERROR(RANK(AV128,$AV$6:$AV$200)+COUNTIF($AV$6:AV128,AV128)-1,"")</f>
        <v/>
      </c>
      <c r="AX128" s="27" t="str">
        <f>IFERROR(RANK(AU128,$AU$6:$AU$200)+COUNTIF($AU$6:AU128,AU128)-1,"")</f>
        <v/>
      </c>
    </row>
    <row r="129" spans="22:50" x14ac:dyDescent="0.35">
      <c r="V129" s="40" t="str">
        <f t="shared" si="10"/>
        <v>--</v>
      </c>
      <c r="W129" s="40"/>
      <c r="AT129" s="27"/>
      <c r="AU129" s="34" t="str">
        <f>IF(ISBLANK(AT129),"",SUMIFS(Table1[Amount $],Table1[Amount $],"&lt;"&amp;0,Table1[Merchant],Snapshot!AT129,Table1[Month],Snapshot!$W$4)*-1)</f>
        <v/>
      </c>
      <c r="AV129" s="27" t="str">
        <f>IF(ISBLANK(AT129),"",COUNTIFS(Table1[Merchant],Snapshot!AT129,Table1[Month],Snapshot!$W$4))</f>
        <v/>
      </c>
      <c r="AW129" s="27" t="str">
        <f>IFERROR(RANK(AV129,$AV$6:$AV$200)+COUNTIF($AV$6:AV129,AV129)-1,"")</f>
        <v/>
      </c>
      <c r="AX129" s="27" t="str">
        <f>IFERROR(RANK(AU129,$AU$6:$AU$200)+COUNTIF($AU$6:AU129,AU129)-1,"")</f>
        <v/>
      </c>
    </row>
    <row r="130" spans="22:50" x14ac:dyDescent="0.35">
      <c r="V130" s="40" t="str">
        <f t="shared" si="10"/>
        <v>--</v>
      </c>
      <c r="W130" s="40"/>
      <c r="AT130" s="27"/>
      <c r="AU130" s="34" t="str">
        <f>IF(ISBLANK(AT130),"",SUMIFS(Table1[Amount $],Table1[Amount $],"&lt;"&amp;0,Table1[Merchant],Snapshot!AT130,Table1[Month],Snapshot!$W$4)*-1)</f>
        <v/>
      </c>
      <c r="AV130" s="27" t="str">
        <f>IF(ISBLANK(AT130),"",COUNTIFS(Table1[Merchant],Snapshot!AT130,Table1[Month],Snapshot!$W$4))</f>
        <v/>
      </c>
      <c r="AW130" s="27" t="str">
        <f>IFERROR(RANK(AV130,$AV$6:$AV$200)+COUNTIF($AV$6:AV130,AV130)-1,"")</f>
        <v/>
      </c>
      <c r="AX130" s="27" t="str">
        <f>IFERROR(RANK(AU130,$AU$6:$AU$200)+COUNTIF($AU$6:AU130,AU130)-1,"")</f>
        <v/>
      </c>
    </row>
    <row r="131" spans="22:50" x14ac:dyDescent="0.35">
      <c r="V131" s="40" t="str">
        <f t="shared" si="10"/>
        <v>--</v>
      </c>
      <c r="W131" s="40"/>
      <c r="AT131" s="27"/>
      <c r="AU131" s="34" t="str">
        <f>IF(ISBLANK(AT131),"",SUMIFS(Table1[Amount $],Table1[Amount $],"&lt;"&amp;0,Table1[Merchant],Snapshot!AT131,Table1[Month],Snapshot!$W$4)*-1)</f>
        <v/>
      </c>
      <c r="AV131" s="27" t="str">
        <f>IF(ISBLANK(AT131),"",COUNTIFS(Table1[Merchant],Snapshot!AT131,Table1[Month],Snapshot!$W$4))</f>
        <v/>
      </c>
      <c r="AW131" s="27" t="str">
        <f>IFERROR(RANK(AV131,$AV$6:$AV$200)+COUNTIF($AV$6:AV131,AV131)-1,"")</f>
        <v/>
      </c>
      <c r="AX131" s="27" t="str">
        <f>IFERROR(RANK(AU131,$AU$6:$AU$200)+COUNTIF($AU$6:AU131,AU131)-1,"")</f>
        <v/>
      </c>
    </row>
    <row r="132" spans="22:50" x14ac:dyDescent="0.35">
      <c r="V132" s="40" t="str">
        <f t="shared" si="10"/>
        <v>--</v>
      </c>
      <c r="W132" s="40"/>
      <c r="AT132" s="27"/>
      <c r="AU132" s="34" t="str">
        <f>IF(ISBLANK(AT132),"",SUMIFS(Table1[Amount $],Table1[Amount $],"&lt;"&amp;0,Table1[Merchant],Snapshot!AT132,Table1[Month],Snapshot!$W$4)*-1)</f>
        <v/>
      </c>
      <c r="AV132" s="27" t="str">
        <f>IF(ISBLANK(AT132),"",COUNTIFS(Table1[Merchant],Snapshot!AT132,Table1[Month],Snapshot!$W$4))</f>
        <v/>
      </c>
      <c r="AW132" s="27" t="str">
        <f>IFERROR(RANK(AV132,$AV$6:$AV$200)+COUNTIF($AV$6:AV132,AV132)-1,"")</f>
        <v/>
      </c>
      <c r="AX132" s="27" t="str">
        <f>IFERROR(RANK(AU132,$AU$6:$AU$200)+COUNTIF($AU$6:AU132,AU132)-1,"")</f>
        <v/>
      </c>
    </row>
    <row r="133" spans="22:50" x14ac:dyDescent="0.35">
      <c r="V133" s="40" t="str">
        <f t="shared" si="10"/>
        <v>--</v>
      </c>
      <c r="W133" s="40"/>
      <c r="AT133" s="27"/>
      <c r="AU133" s="34" t="str">
        <f>IF(ISBLANK(AT133),"",SUMIFS(Table1[Amount $],Table1[Amount $],"&lt;"&amp;0,Table1[Merchant],Snapshot!AT133,Table1[Month],Snapshot!$W$4)*-1)</f>
        <v/>
      </c>
      <c r="AV133" s="27" t="str">
        <f>IF(ISBLANK(AT133),"",COUNTIFS(Table1[Merchant],Snapshot!AT133,Table1[Month],Snapshot!$W$4))</f>
        <v/>
      </c>
      <c r="AW133" s="27" t="str">
        <f>IFERROR(RANK(AV133,$AV$6:$AV$200)+COUNTIF($AV$6:AV133,AV133)-1,"")</f>
        <v/>
      </c>
      <c r="AX133" s="27" t="str">
        <f>IFERROR(RANK(AU133,$AU$6:$AU$200)+COUNTIF($AU$6:AU133,AU133)-1,"")</f>
        <v/>
      </c>
    </row>
    <row r="134" spans="22:50" x14ac:dyDescent="0.35">
      <c r="V134" s="40" t="str">
        <f t="shared" si="10"/>
        <v>--</v>
      </c>
      <c r="W134" s="40"/>
      <c r="AT134" s="27"/>
      <c r="AU134" s="34" t="str">
        <f>IF(ISBLANK(AT134),"",SUMIFS(Table1[Amount $],Table1[Amount $],"&lt;"&amp;0,Table1[Merchant],Snapshot!AT134,Table1[Month],Snapshot!$W$4)*-1)</f>
        <v/>
      </c>
      <c r="AV134" s="27" t="str">
        <f>IF(ISBLANK(AT134),"",COUNTIFS(Table1[Merchant],Snapshot!AT134,Table1[Month],Snapshot!$W$4))</f>
        <v/>
      </c>
      <c r="AW134" s="27" t="str">
        <f>IFERROR(RANK(AV134,$AV$6:$AV$200)+COUNTIF($AV$6:AV134,AV134)-1,"")</f>
        <v/>
      </c>
      <c r="AX134" s="27" t="str">
        <f>IFERROR(RANK(AU134,$AU$6:$AU$200)+COUNTIF($AU$6:AU134,AU134)-1,"")</f>
        <v/>
      </c>
    </row>
    <row r="135" spans="22:50" x14ac:dyDescent="0.35">
      <c r="V135" s="40" t="str">
        <f t="shared" si="10"/>
        <v>--</v>
      </c>
      <c r="W135" s="40"/>
      <c r="AT135" s="27"/>
      <c r="AU135" s="34" t="str">
        <f>IF(ISBLANK(AT135),"",SUMIFS(Table1[Amount $],Table1[Amount $],"&lt;"&amp;0,Table1[Merchant],Snapshot!AT135,Table1[Month],Snapshot!$W$4)*-1)</f>
        <v/>
      </c>
      <c r="AV135" s="27" t="str">
        <f>IF(ISBLANK(AT135),"",COUNTIFS(Table1[Merchant],Snapshot!AT135,Table1[Month],Snapshot!$W$4))</f>
        <v/>
      </c>
      <c r="AW135" s="27" t="str">
        <f>IFERROR(RANK(AV135,$AV$6:$AV$200)+COUNTIF($AV$6:AV135,AV135)-1,"")</f>
        <v/>
      </c>
      <c r="AX135" s="27" t="str">
        <f>IFERROR(RANK(AU135,$AU$6:$AU$200)+COUNTIF($AU$6:AU135,AU135)-1,"")</f>
        <v/>
      </c>
    </row>
    <row r="136" spans="22:50" x14ac:dyDescent="0.35">
      <c r="V136" s="40" t="str">
        <f t="shared" si="10"/>
        <v>--</v>
      </c>
      <c r="W136" s="40"/>
      <c r="AT136" s="27"/>
      <c r="AU136" s="34" t="str">
        <f>IF(ISBLANK(AT136),"",SUMIFS(Table1[Amount $],Table1[Amount $],"&lt;"&amp;0,Table1[Merchant],Snapshot!AT136,Table1[Month],Snapshot!$W$4)*-1)</f>
        <v/>
      </c>
      <c r="AV136" s="27" t="str">
        <f>IF(ISBLANK(AT136),"",COUNTIFS(Table1[Merchant],Snapshot!AT136,Table1[Month],Snapshot!$W$4))</f>
        <v/>
      </c>
      <c r="AW136" s="27" t="str">
        <f>IFERROR(RANK(AV136,$AV$6:$AV$200)+COUNTIF($AV$6:AV136,AV136)-1,"")</f>
        <v/>
      </c>
      <c r="AX136" s="27" t="str">
        <f>IFERROR(RANK(AU136,$AU$6:$AU$200)+COUNTIF($AU$6:AU136,AU136)-1,"")</f>
        <v/>
      </c>
    </row>
    <row r="137" spans="22:50" x14ac:dyDescent="0.35">
      <c r="V137" s="40" t="str">
        <f t="shared" si="10"/>
        <v>--</v>
      </c>
      <c r="W137" s="40"/>
      <c r="AT137" s="27"/>
      <c r="AU137" s="34" t="str">
        <f>IF(ISBLANK(AT137),"",SUMIFS(Table1[Amount $],Table1[Amount $],"&lt;"&amp;0,Table1[Merchant],Snapshot!AT137,Table1[Month],Snapshot!$W$4)*-1)</f>
        <v/>
      </c>
      <c r="AV137" s="27" t="str">
        <f>IF(ISBLANK(AT137),"",COUNTIFS(Table1[Merchant],Snapshot!AT137,Table1[Month],Snapshot!$W$4))</f>
        <v/>
      </c>
      <c r="AW137" s="27" t="str">
        <f>IFERROR(RANK(AV137,$AV$6:$AV$200)+COUNTIF($AV$6:AV137,AV137)-1,"")</f>
        <v/>
      </c>
      <c r="AX137" s="27" t="str">
        <f>IFERROR(RANK(AU137,$AU$6:$AU$200)+COUNTIF($AU$6:AU137,AU137)-1,"")</f>
        <v/>
      </c>
    </row>
    <row r="138" spans="22:50" x14ac:dyDescent="0.35">
      <c r="V138" s="40" t="str">
        <f t="shared" si="10"/>
        <v>--</v>
      </c>
      <c r="W138" s="40"/>
      <c r="AT138" s="27"/>
      <c r="AU138" s="34" t="str">
        <f>IF(ISBLANK(AT138),"",SUMIFS(Table1[Amount $],Table1[Amount $],"&lt;"&amp;0,Table1[Merchant],Snapshot!AT138,Table1[Month],Snapshot!$W$4)*-1)</f>
        <v/>
      </c>
      <c r="AV138" s="27" t="str">
        <f>IF(ISBLANK(AT138),"",COUNTIFS(Table1[Merchant],Snapshot!AT138,Table1[Month],Snapshot!$W$4))</f>
        <v/>
      </c>
      <c r="AW138" s="27" t="str">
        <f>IFERROR(RANK(AV138,$AV$6:$AV$200)+COUNTIF($AV$6:AV138,AV138)-1,"")</f>
        <v/>
      </c>
      <c r="AX138" s="27" t="str">
        <f>IFERROR(RANK(AU138,$AU$6:$AU$200)+COUNTIF($AU$6:AU138,AU138)-1,"")</f>
        <v/>
      </c>
    </row>
    <row r="139" spans="22:50" x14ac:dyDescent="0.35">
      <c r="V139" s="40" t="str">
        <f t="shared" si="10"/>
        <v>--</v>
      </c>
      <c r="W139" s="40"/>
      <c r="AT139" s="27"/>
      <c r="AU139" s="34" t="str">
        <f>IF(ISBLANK(AT139),"",SUMIFS(Table1[Amount $],Table1[Amount $],"&lt;"&amp;0,Table1[Merchant],Snapshot!AT139,Table1[Month],Snapshot!$W$4)*-1)</f>
        <v/>
      </c>
      <c r="AV139" s="27" t="str">
        <f>IF(ISBLANK(AT139),"",COUNTIFS(Table1[Merchant],Snapshot!AT139,Table1[Month],Snapshot!$W$4))</f>
        <v/>
      </c>
      <c r="AW139" s="27" t="str">
        <f>IFERROR(RANK(AV139,$AV$6:$AV$200)+COUNTIF($AV$6:AV139,AV139)-1,"")</f>
        <v/>
      </c>
      <c r="AX139" s="27" t="str">
        <f>IFERROR(RANK(AU139,$AU$6:$AU$200)+COUNTIF($AU$6:AU139,AU139)-1,"")</f>
        <v/>
      </c>
    </row>
    <row r="140" spans="22:50" x14ac:dyDescent="0.35">
      <c r="V140" s="40" t="str">
        <f t="shared" si="10"/>
        <v>--</v>
      </c>
      <c r="W140" s="40"/>
      <c r="AT140" s="27"/>
      <c r="AU140" s="34" t="str">
        <f>IF(ISBLANK(AT140),"",SUMIFS(Table1[Amount $],Table1[Amount $],"&lt;"&amp;0,Table1[Merchant],Snapshot!AT140,Table1[Month],Snapshot!$W$4)*-1)</f>
        <v/>
      </c>
      <c r="AV140" s="27" t="str">
        <f>IF(ISBLANK(AT140),"",COUNTIFS(Table1[Merchant],Snapshot!AT140,Table1[Month],Snapshot!$W$4))</f>
        <v/>
      </c>
      <c r="AW140" s="27" t="str">
        <f>IFERROR(RANK(AV140,$AV$6:$AV$200)+COUNTIF($AV$6:AV140,AV140)-1,"")</f>
        <v/>
      </c>
      <c r="AX140" s="27" t="str">
        <f>IFERROR(RANK(AU140,$AU$6:$AU$200)+COUNTIF($AU$6:AU140,AU140)-1,"")</f>
        <v/>
      </c>
    </row>
    <row r="141" spans="22:50" x14ac:dyDescent="0.35">
      <c r="V141" s="40" t="str">
        <f t="shared" si="10"/>
        <v>--</v>
      </c>
      <c r="W141" s="40"/>
      <c r="AT141" s="27"/>
      <c r="AU141" s="34" t="str">
        <f>IF(ISBLANK(AT141),"",SUMIFS(Table1[Amount $],Table1[Amount $],"&lt;"&amp;0,Table1[Merchant],Snapshot!AT141,Table1[Month],Snapshot!$W$4)*-1)</f>
        <v/>
      </c>
      <c r="AV141" s="27" t="str">
        <f>IF(ISBLANK(AT141),"",COUNTIFS(Table1[Merchant],Snapshot!AT141,Table1[Month],Snapshot!$W$4))</f>
        <v/>
      </c>
      <c r="AW141" s="27" t="str">
        <f>IFERROR(RANK(AV141,$AV$6:$AV$200)+COUNTIF($AV$6:AV141,AV141)-1,"")</f>
        <v/>
      </c>
      <c r="AX141" s="27" t="str">
        <f>IFERROR(RANK(AU141,$AU$6:$AU$200)+COUNTIF($AU$6:AU141,AU141)-1,"")</f>
        <v/>
      </c>
    </row>
    <row r="142" spans="22:50" x14ac:dyDescent="0.35">
      <c r="V142" s="40" t="str">
        <f t="shared" si="10"/>
        <v>--</v>
      </c>
      <c r="W142" s="40"/>
      <c r="AT142" s="27"/>
      <c r="AU142" s="34" t="str">
        <f>IF(ISBLANK(AT142),"",SUMIFS(Table1[Amount $],Table1[Amount $],"&lt;"&amp;0,Table1[Merchant],Snapshot!AT142,Table1[Month],Snapshot!$W$4)*-1)</f>
        <v/>
      </c>
      <c r="AV142" s="27" t="str">
        <f>IF(ISBLANK(AT142),"",COUNTIFS(Table1[Merchant],Snapshot!AT142,Table1[Month],Snapshot!$W$4))</f>
        <v/>
      </c>
      <c r="AW142" s="27" t="str">
        <f>IFERROR(RANK(AV142,$AV$6:$AV$200)+COUNTIF($AV$6:AV142,AV142)-1,"")</f>
        <v/>
      </c>
      <c r="AX142" s="27" t="str">
        <f>IFERROR(RANK(AU142,$AU$6:$AU$200)+COUNTIF($AU$6:AU142,AU142)-1,"")</f>
        <v/>
      </c>
    </row>
    <row r="143" spans="22:50" x14ac:dyDescent="0.35">
      <c r="V143" s="40" t="str">
        <f t="shared" si="10"/>
        <v>--</v>
      </c>
      <c r="W143" s="40"/>
      <c r="AT143" s="27"/>
      <c r="AU143" s="34" t="str">
        <f>IF(ISBLANK(AT143),"",SUMIFS(Table1[Amount $],Table1[Amount $],"&lt;"&amp;0,Table1[Merchant],Snapshot!AT143,Table1[Month],Snapshot!$W$4)*-1)</f>
        <v/>
      </c>
      <c r="AV143" s="27" t="str">
        <f>IF(ISBLANK(AT143),"",COUNTIFS(Table1[Merchant],Snapshot!AT143,Table1[Month],Snapshot!$W$4))</f>
        <v/>
      </c>
      <c r="AW143" s="27" t="str">
        <f>IFERROR(RANK(AV143,$AV$6:$AV$200)+COUNTIF($AV$6:AV143,AV143)-1,"")</f>
        <v/>
      </c>
      <c r="AX143" s="27" t="str">
        <f>IFERROR(RANK(AU143,$AU$6:$AU$200)+COUNTIF($AU$6:AU143,AU143)-1,"")</f>
        <v/>
      </c>
    </row>
    <row r="144" spans="22:50" x14ac:dyDescent="0.35">
      <c r="V144" s="40" t="str">
        <f t="shared" si="10"/>
        <v>--</v>
      </c>
      <c r="W144" s="40"/>
      <c r="AT144" s="27"/>
      <c r="AU144" s="34" t="str">
        <f>IF(ISBLANK(AT144),"",SUMIFS(Table1[Amount $],Table1[Amount $],"&lt;"&amp;0,Table1[Merchant],Snapshot!AT144,Table1[Month],Snapshot!$W$4)*-1)</f>
        <v/>
      </c>
      <c r="AV144" s="27" t="str">
        <f>IF(ISBLANK(AT144),"",COUNTIFS(Table1[Merchant],Snapshot!AT144,Table1[Month],Snapshot!$W$4))</f>
        <v/>
      </c>
      <c r="AW144" s="27" t="str">
        <f>IFERROR(RANK(AV144,$AV$6:$AV$200)+COUNTIF($AV$6:AV144,AV144)-1,"")</f>
        <v/>
      </c>
      <c r="AX144" s="27" t="str">
        <f>IFERROR(RANK(AU144,$AU$6:$AU$200)+COUNTIF($AU$6:AU144,AU144)-1,"")</f>
        <v/>
      </c>
    </row>
    <row r="145" spans="22:50" x14ac:dyDescent="0.35">
      <c r="V145" s="40" t="str">
        <f t="shared" si="10"/>
        <v>--</v>
      </c>
      <c r="W145" s="40"/>
      <c r="AT145" s="27"/>
      <c r="AU145" s="34" t="str">
        <f>IF(ISBLANK(AT145),"",SUMIFS(Table1[Amount $],Table1[Amount $],"&lt;"&amp;0,Table1[Merchant],Snapshot!AT145,Table1[Month],Snapshot!$W$4)*-1)</f>
        <v/>
      </c>
      <c r="AV145" s="27" t="str">
        <f>IF(ISBLANK(AT145),"",COUNTIFS(Table1[Merchant],Snapshot!AT145,Table1[Month],Snapshot!$W$4))</f>
        <v/>
      </c>
      <c r="AW145" s="27" t="str">
        <f>IFERROR(RANK(AV145,$AV$6:$AV$200)+COUNTIF($AV$6:AV145,AV145)-1,"")</f>
        <v/>
      </c>
      <c r="AX145" s="27" t="str">
        <f>IFERROR(RANK(AU145,$AU$6:$AU$200)+COUNTIF($AU$6:AU145,AU145)-1,"")</f>
        <v/>
      </c>
    </row>
    <row r="146" spans="22:50" x14ac:dyDescent="0.35">
      <c r="V146" s="40" t="str">
        <f t="shared" si="10"/>
        <v>--</v>
      </c>
      <c r="W146" s="40"/>
      <c r="AT146" s="27"/>
      <c r="AU146" s="34" t="str">
        <f>IF(ISBLANK(AT146),"",SUMIFS(Table1[Amount $],Table1[Amount $],"&lt;"&amp;0,Table1[Merchant],Snapshot!AT146,Table1[Month],Snapshot!$W$4)*-1)</f>
        <v/>
      </c>
      <c r="AV146" s="27" t="str">
        <f>IF(ISBLANK(AT146),"",COUNTIFS(Table1[Merchant],Snapshot!AT146,Table1[Month],Snapshot!$W$4))</f>
        <v/>
      </c>
      <c r="AW146" s="27" t="str">
        <f>IFERROR(RANK(AV146,$AV$6:$AV$200)+COUNTIF($AV$6:AV146,AV146)-1,"")</f>
        <v/>
      </c>
      <c r="AX146" s="27" t="str">
        <f>IFERROR(RANK(AU146,$AU$6:$AU$200)+COUNTIF($AU$6:AU146,AU146)-1,"")</f>
        <v/>
      </c>
    </row>
    <row r="147" spans="22:50" x14ac:dyDescent="0.35">
      <c r="V147" s="40" t="str">
        <f t="shared" si="10"/>
        <v>--</v>
      </c>
      <c r="W147" s="40"/>
      <c r="AT147" s="27"/>
      <c r="AU147" s="34" t="str">
        <f>IF(ISBLANK(AT147),"",SUMIFS(Table1[Amount $],Table1[Amount $],"&lt;"&amp;0,Table1[Merchant],Snapshot!AT147,Table1[Month],Snapshot!$W$4)*-1)</f>
        <v/>
      </c>
      <c r="AV147" s="27" t="str">
        <f>IF(ISBLANK(AT147),"",COUNTIFS(Table1[Merchant],Snapshot!AT147,Table1[Month],Snapshot!$W$4))</f>
        <v/>
      </c>
      <c r="AW147" s="27" t="str">
        <f>IFERROR(RANK(AV147,$AV$6:$AV$200)+COUNTIF($AV$6:AV147,AV147)-1,"")</f>
        <v/>
      </c>
      <c r="AX147" s="27" t="str">
        <f>IFERROR(RANK(AU147,$AU$6:$AU$200)+COUNTIF($AU$6:AU147,AU147)-1,"")</f>
        <v/>
      </c>
    </row>
    <row r="148" spans="22:50" x14ac:dyDescent="0.35">
      <c r="V148" s="40" t="str">
        <f t="shared" si="10"/>
        <v>--</v>
      </c>
      <c r="W148" s="40"/>
      <c r="AT148" s="27"/>
      <c r="AU148" s="34" t="str">
        <f>IF(ISBLANK(AT148),"",SUMIFS(Table1[Amount $],Table1[Amount $],"&lt;"&amp;0,Table1[Merchant],Snapshot!AT148,Table1[Month],Snapshot!$W$4)*-1)</f>
        <v/>
      </c>
      <c r="AV148" s="27" t="str">
        <f>IF(ISBLANK(AT148),"",COUNTIFS(Table1[Merchant],Snapshot!AT148,Table1[Month],Snapshot!$W$4))</f>
        <v/>
      </c>
      <c r="AW148" s="27" t="str">
        <f>IFERROR(RANK(AV148,$AV$6:$AV$200)+COUNTIF($AV$6:AV148,AV148)-1,"")</f>
        <v/>
      </c>
      <c r="AX148" s="27" t="str">
        <f>IFERROR(RANK(AU148,$AU$6:$AU$200)+COUNTIF($AU$6:AU148,AU148)-1,"")</f>
        <v/>
      </c>
    </row>
    <row r="149" spans="22:50" x14ac:dyDescent="0.35">
      <c r="V149" s="40" t="str">
        <f t="shared" si="10"/>
        <v>--</v>
      </c>
      <c r="W149" s="40"/>
      <c r="AT149" s="27"/>
      <c r="AU149" s="34" t="str">
        <f>IF(ISBLANK(AT149),"",SUMIFS(Table1[Amount $],Table1[Amount $],"&lt;"&amp;0,Table1[Merchant],Snapshot!AT149,Table1[Month],Snapshot!$W$4)*-1)</f>
        <v/>
      </c>
      <c r="AV149" s="27" t="str">
        <f>IF(ISBLANK(AT149),"",COUNTIFS(Table1[Merchant],Snapshot!AT149,Table1[Month],Snapshot!$W$4))</f>
        <v/>
      </c>
      <c r="AW149" s="27" t="str">
        <f>IFERROR(RANK(AV149,$AV$6:$AV$200)+COUNTIF($AV$6:AV149,AV149)-1,"")</f>
        <v/>
      </c>
      <c r="AX149" s="27" t="str">
        <f>IFERROR(RANK(AU149,$AU$6:$AU$200)+COUNTIF($AU$6:AU149,AU149)-1,"")</f>
        <v/>
      </c>
    </row>
    <row r="150" spans="22:50" x14ac:dyDescent="0.35">
      <c r="V150" s="40" t="str">
        <f t="shared" si="10"/>
        <v>--</v>
      </c>
      <c r="W150" s="40"/>
      <c r="AT150" s="27"/>
      <c r="AU150" s="34" t="str">
        <f>IF(ISBLANK(AT150),"",SUMIFS(Table1[Amount $],Table1[Amount $],"&lt;"&amp;0,Table1[Merchant],Snapshot!AT150,Table1[Month],Snapshot!$W$4)*-1)</f>
        <v/>
      </c>
      <c r="AV150" s="27" t="str">
        <f>IF(ISBLANK(AT150),"",COUNTIFS(Table1[Merchant],Snapshot!AT150,Table1[Month],Snapshot!$W$4))</f>
        <v/>
      </c>
      <c r="AW150" s="27" t="str">
        <f>IFERROR(RANK(AV150,$AV$6:$AV$200)+COUNTIF($AV$6:AV150,AV150)-1,"")</f>
        <v/>
      </c>
      <c r="AX150" s="27" t="str">
        <f>IFERROR(RANK(AU150,$AU$6:$AU$200)+COUNTIF($AU$6:AU150,AU150)-1,"")</f>
        <v/>
      </c>
    </row>
    <row r="151" spans="22:50" x14ac:dyDescent="0.35">
      <c r="V151" s="40" t="str">
        <f t="shared" si="10"/>
        <v>--</v>
      </c>
      <c r="W151" s="40"/>
      <c r="AT151" s="27"/>
      <c r="AU151" s="34" t="str">
        <f>IF(ISBLANK(AT151),"",SUMIFS(Table1[Amount $],Table1[Amount $],"&lt;"&amp;0,Table1[Merchant],Snapshot!AT151,Table1[Month],Snapshot!$W$4)*-1)</f>
        <v/>
      </c>
      <c r="AV151" s="27" t="str">
        <f>IF(ISBLANK(AT151),"",COUNTIFS(Table1[Merchant],Snapshot!AT151,Table1[Month],Snapshot!$W$4))</f>
        <v/>
      </c>
      <c r="AW151" s="27" t="str">
        <f>IFERROR(RANK(AV151,$AV$6:$AV$200)+COUNTIF($AV$6:AV151,AV151)-1,"")</f>
        <v/>
      </c>
      <c r="AX151" s="27" t="str">
        <f>IFERROR(RANK(AU151,$AU$6:$AU$200)+COUNTIF($AU$6:AU151,AU151)-1,"")</f>
        <v/>
      </c>
    </row>
    <row r="152" spans="22:50" x14ac:dyDescent="0.35">
      <c r="V152" s="40" t="str">
        <f t="shared" si="10"/>
        <v>--</v>
      </c>
      <c r="W152" s="40"/>
      <c r="AT152" s="27"/>
      <c r="AU152" s="34" t="str">
        <f>IF(ISBLANK(AT152),"",SUMIFS(Table1[Amount $],Table1[Amount $],"&lt;"&amp;0,Table1[Merchant],Snapshot!AT152,Table1[Month],Snapshot!$W$4)*-1)</f>
        <v/>
      </c>
      <c r="AV152" s="27" t="str">
        <f>IF(ISBLANK(AT152),"",COUNTIFS(Table1[Merchant],Snapshot!AT152,Table1[Month],Snapshot!$W$4))</f>
        <v/>
      </c>
      <c r="AW152" s="27" t="str">
        <f>IFERROR(RANK(AV152,$AV$6:$AV$200)+COUNTIF($AV$6:AV152,AV152)-1,"")</f>
        <v/>
      </c>
      <c r="AX152" s="27" t="str">
        <f>IFERROR(RANK(AU152,$AU$6:$AU$200)+COUNTIF($AU$6:AU152,AU152)-1,"")</f>
        <v/>
      </c>
    </row>
    <row r="153" spans="22:50" x14ac:dyDescent="0.35">
      <c r="V153" s="40" t="str">
        <f t="shared" si="10"/>
        <v>--</v>
      </c>
      <c r="W153" s="40"/>
      <c r="AT153" s="27"/>
      <c r="AU153" s="34" t="str">
        <f>IF(ISBLANK(AT153),"",SUMIFS(Table1[Amount $],Table1[Amount $],"&lt;"&amp;0,Table1[Merchant],Snapshot!AT153,Table1[Month],Snapshot!$W$4)*-1)</f>
        <v/>
      </c>
      <c r="AV153" s="27" t="str">
        <f>IF(ISBLANK(AT153),"",COUNTIFS(Table1[Merchant],Snapshot!AT153,Table1[Month],Snapshot!$W$4))</f>
        <v/>
      </c>
      <c r="AW153" s="27" t="str">
        <f>IFERROR(RANK(AV153,$AV$6:$AV$200)+COUNTIF($AV$6:AV153,AV153)-1,"")</f>
        <v/>
      </c>
      <c r="AX153" s="27" t="str">
        <f>IFERROR(RANK(AU153,$AU$6:$AU$200)+COUNTIF($AU$6:AU153,AU153)-1,"")</f>
        <v/>
      </c>
    </row>
    <row r="154" spans="22:50" x14ac:dyDescent="0.35">
      <c r="V154" s="40" t="str">
        <f t="shared" si="10"/>
        <v>--</v>
      </c>
      <c r="W154" s="40"/>
      <c r="AT154" s="27"/>
      <c r="AU154" s="34" t="str">
        <f>IF(ISBLANK(AT154),"",SUMIFS(Table1[Amount $],Table1[Amount $],"&lt;"&amp;0,Table1[Merchant],Snapshot!AT154,Table1[Month],Snapshot!$W$4)*-1)</f>
        <v/>
      </c>
      <c r="AV154" s="27" t="str">
        <f>IF(ISBLANK(AT154),"",COUNTIFS(Table1[Merchant],Snapshot!AT154,Table1[Month],Snapshot!$W$4))</f>
        <v/>
      </c>
      <c r="AW154" s="27" t="str">
        <f>IFERROR(RANK(AV154,$AV$6:$AV$200)+COUNTIF($AV$6:AV154,AV154)-1,"")</f>
        <v/>
      </c>
      <c r="AX154" s="27" t="str">
        <f>IFERROR(RANK(AU154,$AU$6:$AU$200)+COUNTIF($AU$6:AU154,AU154)-1,"")</f>
        <v/>
      </c>
    </row>
    <row r="155" spans="22:50" x14ac:dyDescent="0.35">
      <c r="V155" s="40" t="str">
        <f t="shared" si="10"/>
        <v>--</v>
      </c>
      <c r="W155" s="40"/>
      <c r="AT155" s="27"/>
      <c r="AU155" s="34" t="str">
        <f>IF(ISBLANK(AT155),"",SUMIFS(Table1[Amount $],Table1[Amount $],"&lt;"&amp;0,Table1[Merchant],Snapshot!AT155,Table1[Month],Snapshot!$W$4)*-1)</f>
        <v/>
      </c>
      <c r="AV155" s="27" t="str">
        <f>IF(ISBLANK(AT155),"",COUNTIFS(Table1[Merchant],Snapshot!AT155,Table1[Month],Snapshot!$W$4))</f>
        <v/>
      </c>
      <c r="AW155" s="27" t="str">
        <f>IFERROR(RANK(AV155,$AV$6:$AV$200)+COUNTIF($AV$6:AV155,AV155)-1,"")</f>
        <v/>
      </c>
      <c r="AX155" s="27" t="str">
        <f>IFERROR(RANK(AU155,$AU$6:$AU$200)+COUNTIF($AU$6:AU155,AU155)-1,"")</f>
        <v/>
      </c>
    </row>
    <row r="156" spans="22:50" x14ac:dyDescent="0.35">
      <c r="V156" s="40" t="str">
        <f t="shared" si="10"/>
        <v>--</v>
      </c>
      <c r="W156" s="40"/>
      <c r="AT156" s="27"/>
      <c r="AU156" s="34" t="str">
        <f>IF(ISBLANK(AT156),"",SUMIFS(Table1[Amount $],Table1[Amount $],"&lt;"&amp;0,Table1[Merchant],Snapshot!AT156,Table1[Month],Snapshot!$W$4)*-1)</f>
        <v/>
      </c>
      <c r="AV156" s="27" t="str">
        <f>IF(ISBLANK(AT156),"",COUNTIFS(Table1[Merchant],Snapshot!AT156,Table1[Month],Snapshot!$W$4))</f>
        <v/>
      </c>
      <c r="AW156" s="27" t="str">
        <f>IFERROR(RANK(AV156,$AV$6:$AV$200)+COUNTIF($AV$6:AV156,AV156)-1,"")</f>
        <v/>
      </c>
      <c r="AX156" s="27" t="str">
        <f>IFERROR(RANK(AU156,$AU$6:$AU$200)+COUNTIF($AU$6:AU156,AU156)-1,"")</f>
        <v/>
      </c>
    </row>
    <row r="157" spans="22:50" x14ac:dyDescent="0.35">
      <c r="V157" s="40" t="str">
        <f t="shared" si="10"/>
        <v>--</v>
      </c>
      <c r="W157" s="40"/>
      <c r="AT157" s="27"/>
      <c r="AU157" s="34" t="str">
        <f>IF(ISBLANK(AT157),"",SUMIFS(Table1[Amount $],Table1[Amount $],"&lt;"&amp;0,Table1[Merchant],Snapshot!AT157,Table1[Month],Snapshot!$W$4)*-1)</f>
        <v/>
      </c>
      <c r="AV157" s="27" t="str">
        <f>IF(ISBLANK(AT157),"",COUNTIFS(Table1[Merchant],Snapshot!AT157,Table1[Month],Snapshot!$W$4))</f>
        <v/>
      </c>
      <c r="AW157" s="27" t="str">
        <f>IFERROR(RANK(AV157,$AV$6:$AV$200)+COUNTIF($AV$6:AV157,AV157)-1,"")</f>
        <v/>
      </c>
      <c r="AX157" s="27" t="str">
        <f>IFERROR(RANK(AU157,$AU$6:$AU$200)+COUNTIF($AU$6:AU157,AU157)-1,"")</f>
        <v/>
      </c>
    </row>
    <row r="158" spans="22:50" x14ac:dyDescent="0.35">
      <c r="V158" s="40" t="str">
        <f t="shared" si="10"/>
        <v>--</v>
      </c>
      <c r="W158" s="40"/>
      <c r="AT158" s="27"/>
      <c r="AU158" s="34" t="str">
        <f>IF(ISBLANK(AT158),"",SUMIFS(Table1[Amount $],Table1[Amount $],"&lt;"&amp;0,Table1[Merchant],Snapshot!AT158,Table1[Month],Snapshot!$W$4)*-1)</f>
        <v/>
      </c>
      <c r="AV158" s="27" t="str">
        <f>IF(ISBLANK(AT158),"",COUNTIFS(Table1[Merchant],Snapshot!AT158,Table1[Month],Snapshot!$W$4))</f>
        <v/>
      </c>
      <c r="AW158" s="27" t="str">
        <f>IFERROR(RANK(AV158,$AV$6:$AV$200)+COUNTIF($AV$6:AV158,AV158)-1,"")</f>
        <v/>
      </c>
      <c r="AX158" s="27" t="str">
        <f>IFERROR(RANK(AU158,$AU$6:$AU$200)+COUNTIF($AU$6:AU158,AU158)-1,"")</f>
        <v/>
      </c>
    </row>
    <row r="159" spans="22:50" x14ac:dyDescent="0.35">
      <c r="V159" s="40" t="str">
        <f t="shared" si="10"/>
        <v>--</v>
      </c>
      <c r="W159" s="40"/>
      <c r="AT159" s="27"/>
      <c r="AU159" s="34" t="str">
        <f>IF(ISBLANK(AT159),"",SUMIFS(Table1[Amount $],Table1[Amount $],"&lt;"&amp;0,Table1[Merchant],Snapshot!AT159,Table1[Month],Snapshot!$W$4)*-1)</f>
        <v/>
      </c>
      <c r="AV159" s="27" t="str">
        <f>IF(ISBLANK(AT159),"",COUNTIFS(Table1[Merchant],Snapshot!AT159,Table1[Month],Snapshot!$W$4))</f>
        <v/>
      </c>
      <c r="AW159" s="27" t="str">
        <f>IFERROR(RANK(AV159,$AV$6:$AV$200)+COUNTIF($AV$6:AV159,AV159)-1,"")</f>
        <v/>
      </c>
      <c r="AX159" s="27" t="str">
        <f>IFERROR(RANK(AU159,$AU$6:$AU$200)+COUNTIF($AU$6:AU159,AU159)-1,"")</f>
        <v/>
      </c>
    </row>
    <row r="160" spans="22:50" x14ac:dyDescent="0.35">
      <c r="V160" s="40" t="str">
        <f t="shared" si="10"/>
        <v>--</v>
      </c>
      <c r="W160" s="40"/>
      <c r="AT160" s="27"/>
      <c r="AU160" s="34" t="str">
        <f>IF(ISBLANK(AT160),"",SUMIFS(Table1[Amount $],Table1[Amount $],"&lt;"&amp;0,Table1[Merchant],Snapshot!AT160,Table1[Month],Snapshot!$W$4)*-1)</f>
        <v/>
      </c>
      <c r="AV160" s="27" t="str">
        <f>IF(ISBLANK(AT160),"",COUNTIFS(Table1[Merchant],Snapshot!AT160,Table1[Month],Snapshot!$W$4))</f>
        <v/>
      </c>
      <c r="AW160" s="27" t="str">
        <f>IFERROR(RANK(AV160,$AV$6:$AV$200)+COUNTIF($AV$6:AV160,AV160)-1,"")</f>
        <v/>
      </c>
      <c r="AX160" s="27" t="str">
        <f>IFERROR(RANK(AU160,$AU$6:$AU$200)+COUNTIF($AU$6:AU160,AU160)-1,"")</f>
        <v/>
      </c>
    </row>
    <row r="161" spans="22:50" x14ac:dyDescent="0.35">
      <c r="V161" s="40" t="str">
        <f t="shared" si="10"/>
        <v>--</v>
      </c>
      <c r="W161" s="40"/>
      <c r="AT161" s="27"/>
      <c r="AU161" s="34" t="str">
        <f>IF(ISBLANK(AT161),"",SUMIFS(Table1[Amount $],Table1[Amount $],"&lt;"&amp;0,Table1[Merchant],Snapshot!AT161,Table1[Month],Snapshot!$W$4)*-1)</f>
        <v/>
      </c>
      <c r="AV161" s="27" t="str">
        <f>IF(ISBLANK(AT161),"",COUNTIFS(Table1[Merchant],Snapshot!AT161,Table1[Month],Snapshot!$W$4))</f>
        <v/>
      </c>
      <c r="AW161" s="27" t="str">
        <f>IFERROR(RANK(AV161,$AV$6:$AV$200)+COUNTIF($AV$6:AV161,AV161)-1,"")</f>
        <v/>
      </c>
      <c r="AX161" s="27" t="str">
        <f>IFERROR(RANK(AU161,$AU$6:$AU$200)+COUNTIF($AU$6:AU161,AU161)-1,"")</f>
        <v/>
      </c>
    </row>
    <row r="162" spans="22:50" x14ac:dyDescent="0.35">
      <c r="V162" s="40" t="str">
        <f t="shared" si="10"/>
        <v>--</v>
      </c>
      <c r="W162" s="40"/>
      <c r="AT162" s="27"/>
      <c r="AU162" s="34" t="str">
        <f>IF(ISBLANK(AT162),"",SUMIFS(Table1[Amount $],Table1[Amount $],"&lt;"&amp;0,Table1[Merchant],Snapshot!AT162,Table1[Month],Snapshot!$W$4)*-1)</f>
        <v/>
      </c>
      <c r="AV162" s="27" t="str">
        <f>IF(ISBLANK(AT162),"",COUNTIFS(Table1[Merchant],Snapshot!AT162,Table1[Month],Snapshot!$W$4))</f>
        <v/>
      </c>
      <c r="AW162" s="27" t="str">
        <f>IFERROR(RANK(AV162,$AV$6:$AV$200)+COUNTIF($AV$6:AV162,AV162)-1,"")</f>
        <v/>
      </c>
      <c r="AX162" s="27" t="str">
        <f>IFERROR(RANK(AU162,$AU$6:$AU$200)+COUNTIF($AU$6:AU162,AU162)-1,"")</f>
        <v/>
      </c>
    </row>
    <row r="163" spans="22:50" x14ac:dyDescent="0.35">
      <c r="V163" s="40" t="str">
        <f t="shared" si="10"/>
        <v>--</v>
      </c>
      <c r="W163" s="40"/>
      <c r="AT163" s="27"/>
      <c r="AU163" s="34" t="str">
        <f>IF(ISBLANK(AT163),"",SUMIFS(Table1[Amount $],Table1[Amount $],"&lt;"&amp;0,Table1[Merchant],Snapshot!AT163,Table1[Month],Snapshot!$W$4)*-1)</f>
        <v/>
      </c>
      <c r="AV163" s="27" t="str">
        <f>IF(ISBLANK(AT163),"",COUNTIFS(Table1[Merchant],Snapshot!AT163,Table1[Month],Snapshot!$W$4))</f>
        <v/>
      </c>
      <c r="AW163" s="27" t="str">
        <f>IFERROR(RANK(AV163,$AV$6:$AV$200)+COUNTIF($AV$6:AV163,AV163)-1,"")</f>
        <v/>
      </c>
      <c r="AX163" s="27" t="str">
        <f>IFERROR(RANK(AU163,$AU$6:$AU$200)+COUNTIF($AU$6:AU163,AU163)-1,"")</f>
        <v/>
      </c>
    </row>
    <row r="164" spans="22:50" x14ac:dyDescent="0.35">
      <c r="V164" s="40" t="str">
        <f t="shared" si="10"/>
        <v>--</v>
      </c>
      <c r="W164" s="40"/>
      <c r="AT164" s="27"/>
      <c r="AU164" s="34" t="str">
        <f>IF(ISBLANK(AT164),"",SUMIFS(Table1[Amount $],Table1[Amount $],"&lt;"&amp;0,Table1[Merchant],Snapshot!AT164,Table1[Month],Snapshot!$W$4)*-1)</f>
        <v/>
      </c>
      <c r="AV164" s="27" t="str">
        <f>IF(ISBLANK(AT164),"",COUNTIFS(Table1[Merchant],Snapshot!AT164,Table1[Month],Snapshot!$W$4))</f>
        <v/>
      </c>
      <c r="AW164" s="27" t="str">
        <f>IFERROR(RANK(AV164,$AV$6:$AV$200)+COUNTIF($AV$6:AV164,AV164)-1,"")</f>
        <v/>
      </c>
      <c r="AX164" s="27" t="str">
        <f>IFERROR(RANK(AU164,$AU$6:$AU$200)+COUNTIF($AU$6:AU164,AU164)-1,"")</f>
        <v/>
      </c>
    </row>
    <row r="165" spans="22:50" x14ac:dyDescent="0.35">
      <c r="V165" s="40" t="str">
        <f t="shared" si="10"/>
        <v>--</v>
      </c>
      <c r="W165" s="40"/>
      <c r="AT165" s="27"/>
      <c r="AU165" s="34" t="str">
        <f>IF(ISBLANK(AT165),"",SUMIFS(Table1[Amount $],Table1[Amount $],"&lt;"&amp;0,Table1[Merchant],Snapshot!AT165,Table1[Month],Snapshot!$W$4)*-1)</f>
        <v/>
      </c>
      <c r="AV165" s="27" t="str">
        <f>IF(ISBLANK(AT165),"",COUNTIFS(Table1[Merchant],Snapshot!AT165,Table1[Month],Snapshot!$W$4))</f>
        <v/>
      </c>
      <c r="AW165" s="27" t="str">
        <f>IFERROR(RANK(AV165,$AV$6:$AV$200)+COUNTIF($AV$6:AV165,AV165)-1,"")</f>
        <v/>
      </c>
      <c r="AX165" s="27" t="str">
        <f>IFERROR(RANK(AU165,$AU$6:$AU$200)+COUNTIF($AU$6:AU165,AU165)-1,"")</f>
        <v/>
      </c>
    </row>
    <row r="166" spans="22:50" x14ac:dyDescent="0.35">
      <c r="V166" s="40" t="str">
        <f t="shared" si="10"/>
        <v>--</v>
      </c>
      <c r="W166" s="40"/>
      <c r="AT166" s="27"/>
      <c r="AU166" s="34" t="str">
        <f>IF(ISBLANK(AT166),"",SUMIFS(Table1[Amount $],Table1[Amount $],"&lt;"&amp;0,Table1[Merchant],Snapshot!AT166,Table1[Month],Snapshot!$W$4)*-1)</f>
        <v/>
      </c>
      <c r="AV166" s="27" t="str">
        <f>IF(ISBLANK(AT166),"",COUNTIFS(Table1[Merchant],Snapshot!AT166,Table1[Month],Snapshot!$W$4))</f>
        <v/>
      </c>
      <c r="AW166" s="27" t="str">
        <f>IFERROR(RANK(AV166,$AV$6:$AV$200)+COUNTIF($AV$6:AV166,AV166)-1,"")</f>
        <v/>
      </c>
      <c r="AX166" s="27" t="str">
        <f>IFERROR(RANK(AU166,$AU$6:$AU$200)+COUNTIF($AU$6:AU166,AU166)-1,"")</f>
        <v/>
      </c>
    </row>
    <row r="167" spans="22:50" x14ac:dyDescent="0.35">
      <c r="V167" s="40" t="str">
        <f t="shared" si="10"/>
        <v>--</v>
      </c>
      <c r="W167" s="40"/>
      <c r="AT167" s="27"/>
      <c r="AU167" s="34" t="str">
        <f>IF(ISBLANK(AT167),"",SUMIFS(Table1[Amount $],Table1[Amount $],"&lt;"&amp;0,Table1[Merchant],Snapshot!AT167,Table1[Month],Snapshot!$W$4)*-1)</f>
        <v/>
      </c>
      <c r="AV167" s="27" t="str">
        <f>IF(ISBLANK(AT167),"",COUNTIFS(Table1[Merchant],Snapshot!AT167,Table1[Month],Snapshot!$W$4))</f>
        <v/>
      </c>
      <c r="AW167" s="27" t="str">
        <f>IFERROR(RANK(AV167,$AV$6:$AV$200)+COUNTIF($AV$6:AV167,AV167)-1,"")</f>
        <v/>
      </c>
      <c r="AX167" s="27" t="str">
        <f>IFERROR(RANK(AU167,$AU$6:$AU$200)+COUNTIF($AU$6:AU167,AU167)-1,"")</f>
        <v/>
      </c>
    </row>
    <row r="168" spans="22:50" x14ac:dyDescent="0.35">
      <c r="V168" s="40" t="str">
        <f t="shared" si="10"/>
        <v>--</v>
      </c>
      <c r="W168" s="40"/>
      <c r="AT168" s="27"/>
      <c r="AU168" s="34" t="str">
        <f>IF(ISBLANK(AT168),"",SUMIFS(Table1[Amount $],Table1[Amount $],"&lt;"&amp;0,Table1[Merchant],Snapshot!AT168,Table1[Month],Snapshot!$W$4)*-1)</f>
        <v/>
      </c>
      <c r="AV168" s="27" t="str">
        <f>IF(ISBLANK(AT168),"",COUNTIFS(Table1[Merchant],Snapshot!AT168,Table1[Month],Snapshot!$W$4))</f>
        <v/>
      </c>
      <c r="AW168" s="27" t="str">
        <f>IFERROR(RANK(AV168,$AV$6:$AV$200)+COUNTIF($AV$6:AV168,AV168)-1,"")</f>
        <v/>
      </c>
      <c r="AX168" s="27" t="str">
        <f>IFERROR(RANK(AU168,$AU$6:$AU$200)+COUNTIF($AU$6:AU168,AU168)-1,"")</f>
        <v/>
      </c>
    </row>
    <row r="169" spans="22:50" x14ac:dyDescent="0.35">
      <c r="V169" s="40" t="str">
        <f t="shared" si="10"/>
        <v>--</v>
      </c>
      <c r="W169" s="40"/>
      <c r="AT169" s="27"/>
      <c r="AU169" s="34" t="str">
        <f>IF(ISBLANK(AT169),"",SUMIFS(Table1[Amount $],Table1[Amount $],"&lt;"&amp;0,Table1[Merchant],Snapshot!AT169,Table1[Month],Snapshot!$W$4)*-1)</f>
        <v/>
      </c>
      <c r="AV169" s="27" t="str">
        <f>IF(ISBLANK(AT169),"",COUNTIFS(Table1[Merchant],Snapshot!AT169,Table1[Month],Snapshot!$W$4))</f>
        <v/>
      </c>
      <c r="AW169" s="27" t="str">
        <f>IFERROR(RANK(AV169,$AV$6:$AV$200)+COUNTIF($AV$6:AV169,AV169)-1,"")</f>
        <v/>
      </c>
      <c r="AX169" s="27" t="str">
        <f>IFERROR(RANK(AU169,$AU$6:$AU$200)+COUNTIF($AU$6:AU169,AU169)-1,"")</f>
        <v/>
      </c>
    </row>
    <row r="170" spans="22:50" x14ac:dyDescent="0.35">
      <c r="V170" s="40" t="str">
        <f t="shared" ref="V170:V199" si="11">IF(ISBLANK(W170),"--",TEXT(W170,"mmmm")&amp;" "&amp;TEXT(W170,"YYYY"))</f>
        <v>--</v>
      </c>
      <c r="W170" s="40"/>
      <c r="AT170" s="27"/>
      <c r="AU170" s="34" t="str">
        <f>IF(ISBLANK(AT170),"",SUMIFS(Table1[Amount $],Table1[Amount $],"&lt;"&amp;0,Table1[Merchant],Snapshot!AT170,Table1[Month],Snapshot!$W$4)*-1)</f>
        <v/>
      </c>
      <c r="AV170" s="27" t="str">
        <f>IF(ISBLANK(AT170),"",COUNTIFS(Table1[Merchant],Snapshot!AT170,Table1[Month],Snapshot!$W$4))</f>
        <v/>
      </c>
      <c r="AW170" s="27" t="str">
        <f>IFERROR(RANK(AV170,$AV$6:$AV$200)+COUNTIF($AV$6:AV170,AV170)-1,"")</f>
        <v/>
      </c>
      <c r="AX170" s="27" t="str">
        <f>IFERROR(RANK(AU170,$AU$6:$AU$200)+COUNTIF($AU$6:AU170,AU170)-1,"")</f>
        <v/>
      </c>
    </row>
    <row r="171" spans="22:50" x14ac:dyDescent="0.35">
      <c r="V171" s="40" t="str">
        <f t="shared" si="11"/>
        <v>--</v>
      </c>
      <c r="W171" s="40"/>
      <c r="AT171" s="27"/>
      <c r="AU171" s="34" t="str">
        <f>IF(ISBLANK(AT171),"",SUMIFS(Table1[Amount $],Table1[Amount $],"&lt;"&amp;0,Table1[Merchant],Snapshot!AT171,Table1[Month],Snapshot!$W$4)*-1)</f>
        <v/>
      </c>
      <c r="AV171" s="27" t="str">
        <f>IF(ISBLANK(AT171),"",COUNTIFS(Table1[Merchant],Snapshot!AT171,Table1[Month],Snapshot!$W$4))</f>
        <v/>
      </c>
      <c r="AW171" s="27" t="str">
        <f>IFERROR(RANK(AV171,$AV$6:$AV$200)+COUNTIF($AV$6:AV171,AV171)-1,"")</f>
        <v/>
      </c>
      <c r="AX171" s="27" t="str">
        <f>IFERROR(RANK(AU171,$AU$6:$AU$200)+COUNTIF($AU$6:AU171,AU171)-1,"")</f>
        <v/>
      </c>
    </row>
    <row r="172" spans="22:50" x14ac:dyDescent="0.35">
      <c r="V172" s="40" t="str">
        <f t="shared" si="11"/>
        <v>--</v>
      </c>
      <c r="W172" s="40"/>
      <c r="AT172" s="27"/>
      <c r="AU172" s="34" t="str">
        <f>IF(ISBLANK(AT172),"",SUMIFS(Table1[Amount $],Table1[Amount $],"&lt;"&amp;0,Table1[Merchant],Snapshot!AT172,Table1[Month],Snapshot!$W$4)*-1)</f>
        <v/>
      </c>
      <c r="AV172" s="27" t="str">
        <f>IF(ISBLANK(AT172),"",COUNTIFS(Table1[Merchant],Snapshot!AT172,Table1[Month],Snapshot!$W$4))</f>
        <v/>
      </c>
      <c r="AW172" s="27" t="str">
        <f>IFERROR(RANK(AV172,$AV$6:$AV$200)+COUNTIF($AV$6:AV172,AV172)-1,"")</f>
        <v/>
      </c>
      <c r="AX172" s="27" t="str">
        <f>IFERROR(RANK(AU172,$AU$6:$AU$200)+COUNTIF($AU$6:AU172,AU172)-1,"")</f>
        <v/>
      </c>
    </row>
    <row r="173" spans="22:50" x14ac:dyDescent="0.35">
      <c r="V173" s="40" t="str">
        <f t="shared" si="11"/>
        <v>--</v>
      </c>
      <c r="W173" s="40"/>
      <c r="AT173" s="27"/>
      <c r="AU173" s="34" t="str">
        <f>IF(ISBLANK(AT173),"",SUMIFS(Table1[Amount $],Table1[Amount $],"&lt;"&amp;0,Table1[Merchant],Snapshot!AT173,Table1[Month],Snapshot!$W$4)*-1)</f>
        <v/>
      </c>
      <c r="AV173" s="27" t="str">
        <f>IF(ISBLANK(AT173),"",COUNTIFS(Table1[Merchant],Snapshot!AT173,Table1[Month],Snapshot!$W$4))</f>
        <v/>
      </c>
      <c r="AW173" s="27" t="str">
        <f>IFERROR(RANK(AV173,$AV$6:$AV$200)+COUNTIF($AV$6:AV173,AV173)-1,"")</f>
        <v/>
      </c>
      <c r="AX173" s="27" t="str">
        <f>IFERROR(RANK(AU173,$AU$6:$AU$200)+COUNTIF($AU$6:AU173,AU173)-1,"")</f>
        <v/>
      </c>
    </row>
    <row r="174" spans="22:50" x14ac:dyDescent="0.35">
      <c r="V174" s="40" t="str">
        <f t="shared" si="11"/>
        <v>--</v>
      </c>
      <c r="W174" s="40"/>
      <c r="AT174" s="27"/>
      <c r="AU174" s="34" t="str">
        <f>IF(ISBLANK(AT174),"",SUMIFS(Table1[Amount $],Table1[Amount $],"&lt;"&amp;0,Table1[Merchant],Snapshot!AT174,Table1[Month],Snapshot!$W$4)*-1)</f>
        <v/>
      </c>
      <c r="AV174" s="27" t="str">
        <f>IF(ISBLANK(AT174),"",COUNTIFS(Table1[Merchant],Snapshot!AT174,Table1[Month],Snapshot!$W$4))</f>
        <v/>
      </c>
      <c r="AW174" s="27" t="str">
        <f>IFERROR(RANK(AV174,$AV$6:$AV$200)+COUNTIF($AV$6:AV174,AV174)-1,"")</f>
        <v/>
      </c>
      <c r="AX174" s="27" t="str">
        <f>IFERROR(RANK(AU174,$AU$6:$AU$200)+COUNTIF($AU$6:AU174,AU174)-1,"")</f>
        <v/>
      </c>
    </row>
    <row r="175" spans="22:50" x14ac:dyDescent="0.35">
      <c r="V175" s="40" t="str">
        <f t="shared" si="11"/>
        <v>--</v>
      </c>
      <c r="W175" s="40"/>
      <c r="AT175" s="27"/>
      <c r="AU175" s="34" t="str">
        <f>IF(ISBLANK(AT175),"",SUMIFS(Table1[Amount $],Table1[Amount $],"&lt;"&amp;0,Table1[Merchant],Snapshot!AT175,Table1[Month],Snapshot!$W$4)*-1)</f>
        <v/>
      </c>
      <c r="AV175" s="27" t="str">
        <f>IF(ISBLANK(AT175),"",COUNTIFS(Table1[Merchant],Snapshot!AT175,Table1[Month],Snapshot!$W$4))</f>
        <v/>
      </c>
      <c r="AW175" s="27" t="str">
        <f>IFERROR(RANK(AV175,$AV$6:$AV$200)+COUNTIF($AV$6:AV175,AV175)-1,"")</f>
        <v/>
      </c>
      <c r="AX175" s="27" t="str">
        <f>IFERROR(RANK(AU175,$AU$6:$AU$200)+COUNTIF($AU$6:AU175,AU175)-1,"")</f>
        <v/>
      </c>
    </row>
    <row r="176" spans="22:50" x14ac:dyDescent="0.35">
      <c r="V176" s="40" t="str">
        <f t="shared" si="11"/>
        <v>--</v>
      </c>
      <c r="W176" s="40"/>
      <c r="AT176" s="27"/>
      <c r="AU176" s="34" t="str">
        <f>IF(ISBLANK(AT176),"",SUMIFS(Table1[Amount $],Table1[Amount $],"&lt;"&amp;0,Table1[Merchant],Snapshot!AT176,Table1[Month],Snapshot!$W$4)*-1)</f>
        <v/>
      </c>
      <c r="AV176" s="27" t="str">
        <f>IF(ISBLANK(AT176),"",COUNTIFS(Table1[Merchant],Snapshot!AT176,Table1[Month],Snapshot!$W$4))</f>
        <v/>
      </c>
      <c r="AW176" s="27" t="str">
        <f>IFERROR(RANK(AV176,$AV$6:$AV$200)+COUNTIF($AV$6:AV176,AV176)-1,"")</f>
        <v/>
      </c>
      <c r="AX176" s="27" t="str">
        <f>IFERROR(RANK(AU176,$AU$6:$AU$200)+COUNTIF($AU$6:AU176,AU176)-1,"")</f>
        <v/>
      </c>
    </row>
    <row r="177" spans="22:50" x14ac:dyDescent="0.35">
      <c r="V177" s="40" t="str">
        <f t="shared" si="11"/>
        <v>--</v>
      </c>
      <c r="W177" s="40"/>
      <c r="AT177" s="27"/>
      <c r="AU177" s="34" t="str">
        <f>IF(ISBLANK(AT177),"",SUMIFS(Table1[Amount $],Table1[Amount $],"&lt;"&amp;0,Table1[Merchant],Snapshot!AT177,Table1[Month],Snapshot!$W$4)*-1)</f>
        <v/>
      </c>
      <c r="AV177" s="27" t="str">
        <f>IF(ISBLANK(AT177),"",COUNTIFS(Table1[Merchant],Snapshot!AT177,Table1[Month],Snapshot!$W$4))</f>
        <v/>
      </c>
      <c r="AW177" s="27" t="str">
        <f>IFERROR(RANK(AV177,$AV$6:$AV$200)+COUNTIF($AV$6:AV177,AV177)-1,"")</f>
        <v/>
      </c>
      <c r="AX177" s="27" t="str">
        <f>IFERROR(RANK(AU177,$AU$6:$AU$200)+COUNTIF($AU$6:AU177,AU177)-1,"")</f>
        <v/>
      </c>
    </row>
    <row r="178" spans="22:50" x14ac:dyDescent="0.35">
      <c r="V178" s="40" t="str">
        <f t="shared" si="11"/>
        <v>--</v>
      </c>
      <c r="W178" s="40"/>
      <c r="AT178" s="27"/>
      <c r="AU178" s="34" t="str">
        <f>IF(ISBLANK(AT178),"",SUMIFS(Table1[Amount $],Table1[Amount $],"&lt;"&amp;0,Table1[Merchant],Snapshot!AT178,Table1[Month],Snapshot!$W$4)*-1)</f>
        <v/>
      </c>
      <c r="AV178" s="27" t="str">
        <f>IF(ISBLANK(AT178),"",COUNTIFS(Table1[Merchant],Snapshot!AT178,Table1[Month],Snapshot!$W$4))</f>
        <v/>
      </c>
      <c r="AW178" s="27" t="str">
        <f>IFERROR(RANK(AV178,$AV$6:$AV$200)+COUNTIF($AV$6:AV178,AV178)-1,"")</f>
        <v/>
      </c>
      <c r="AX178" s="27" t="str">
        <f>IFERROR(RANK(AU178,$AU$6:$AU$200)+COUNTIF($AU$6:AU178,AU178)-1,"")</f>
        <v/>
      </c>
    </row>
    <row r="179" spans="22:50" x14ac:dyDescent="0.35">
      <c r="V179" s="40" t="str">
        <f t="shared" si="11"/>
        <v>--</v>
      </c>
      <c r="W179" s="40"/>
      <c r="AT179" s="27"/>
      <c r="AU179" s="34" t="str">
        <f>IF(ISBLANK(AT179),"",SUMIFS(Table1[Amount $],Table1[Amount $],"&lt;"&amp;0,Table1[Merchant],Snapshot!AT179,Table1[Month],Snapshot!$W$4)*-1)</f>
        <v/>
      </c>
      <c r="AV179" s="27" t="str">
        <f>IF(ISBLANK(AT179),"",COUNTIFS(Table1[Merchant],Snapshot!AT179,Table1[Month],Snapshot!$W$4))</f>
        <v/>
      </c>
      <c r="AW179" s="27" t="str">
        <f>IFERROR(RANK(AV179,$AV$6:$AV$200)+COUNTIF($AV$6:AV179,AV179)-1,"")</f>
        <v/>
      </c>
      <c r="AX179" s="27" t="str">
        <f>IFERROR(RANK(AU179,$AU$6:$AU$200)+COUNTIF($AU$6:AU179,AU179)-1,"")</f>
        <v/>
      </c>
    </row>
    <row r="180" spans="22:50" x14ac:dyDescent="0.35">
      <c r="V180" s="40" t="str">
        <f t="shared" si="11"/>
        <v>--</v>
      </c>
      <c r="W180" s="40"/>
      <c r="AT180" s="27"/>
      <c r="AU180" s="34" t="str">
        <f>IF(ISBLANK(AT180),"",SUMIFS(Table1[Amount $],Table1[Amount $],"&lt;"&amp;0,Table1[Merchant],Snapshot!AT180,Table1[Month],Snapshot!$W$4)*-1)</f>
        <v/>
      </c>
      <c r="AV180" s="27" t="str">
        <f>IF(ISBLANK(AT180),"",COUNTIFS(Table1[Merchant],Snapshot!AT180,Table1[Month],Snapshot!$W$4))</f>
        <v/>
      </c>
      <c r="AW180" s="27" t="str">
        <f>IFERROR(RANK(AV180,$AV$6:$AV$200)+COUNTIF($AV$6:AV180,AV180)-1,"")</f>
        <v/>
      </c>
      <c r="AX180" s="27" t="str">
        <f>IFERROR(RANK(AU180,$AU$6:$AU$200)+COUNTIF($AU$6:AU180,AU180)-1,"")</f>
        <v/>
      </c>
    </row>
    <row r="181" spans="22:50" x14ac:dyDescent="0.35">
      <c r="V181" s="40" t="str">
        <f t="shared" si="11"/>
        <v>--</v>
      </c>
      <c r="W181" s="40"/>
      <c r="AT181" s="27"/>
      <c r="AU181" s="34" t="str">
        <f>IF(ISBLANK(AT181),"",SUMIFS(Table1[Amount $],Table1[Amount $],"&lt;"&amp;0,Table1[Merchant],Snapshot!AT181,Table1[Month],Snapshot!$W$4)*-1)</f>
        <v/>
      </c>
      <c r="AV181" s="27" t="str">
        <f>IF(ISBLANK(AT181),"",COUNTIFS(Table1[Merchant],Snapshot!AT181,Table1[Month],Snapshot!$W$4))</f>
        <v/>
      </c>
      <c r="AW181" s="27" t="str">
        <f>IFERROR(RANK(AV181,$AV$6:$AV$200)+COUNTIF($AV$6:AV181,AV181)-1,"")</f>
        <v/>
      </c>
      <c r="AX181" s="27" t="str">
        <f>IFERROR(RANK(AU181,$AU$6:$AU$200)+COUNTIF($AU$6:AU181,AU181)-1,"")</f>
        <v/>
      </c>
    </row>
    <row r="182" spans="22:50" x14ac:dyDescent="0.35">
      <c r="V182" s="40" t="str">
        <f t="shared" si="11"/>
        <v>--</v>
      </c>
      <c r="W182" s="40"/>
      <c r="AT182" s="27"/>
      <c r="AU182" s="34" t="str">
        <f>IF(ISBLANK(AT182),"",SUMIFS(Table1[Amount $],Table1[Amount $],"&lt;"&amp;0,Table1[Merchant],Snapshot!AT182,Table1[Month],Snapshot!$W$4)*-1)</f>
        <v/>
      </c>
      <c r="AV182" s="27" t="str">
        <f>IF(ISBLANK(AT182),"",COUNTIFS(Table1[Merchant],Snapshot!AT182,Table1[Month],Snapshot!$W$4))</f>
        <v/>
      </c>
      <c r="AW182" s="27" t="str">
        <f>IFERROR(RANK(AV182,$AV$6:$AV$200)+COUNTIF($AV$6:AV182,AV182)-1,"")</f>
        <v/>
      </c>
      <c r="AX182" s="27" t="str">
        <f>IFERROR(RANK(AU182,$AU$6:$AU$200)+COUNTIF($AU$6:AU182,AU182)-1,"")</f>
        <v/>
      </c>
    </row>
    <row r="183" spans="22:50" x14ac:dyDescent="0.35">
      <c r="V183" s="40" t="str">
        <f t="shared" si="11"/>
        <v>--</v>
      </c>
      <c r="W183" s="40"/>
      <c r="AT183" s="27"/>
      <c r="AU183" s="34" t="str">
        <f>IF(ISBLANK(AT183),"",SUMIFS(Table1[Amount $],Table1[Amount $],"&lt;"&amp;0,Table1[Merchant],Snapshot!AT183,Table1[Month],Snapshot!$W$4)*-1)</f>
        <v/>
      </c>
      <c r="AV183" s="27" t="str">
        <f>IF(ISBLANK(AT183),"",COUNTIFS(Table1[Merchant],Snapshot!AT183,Table1[Month],Snapshot!$W$4))</f>
        <v/>
      </c>
      <c r="AW183" s="27" t="str">
        <f>IFERROR(RANK(AV183,$AV$6:$AV$200)+COUNTIF($AV$6:AV183,AV183)-1,"")</f>
        <v/>
      </c>
      <c r="AX183" s="27" t="str">
        <f>IFERROR(RANK(AU183,$AU$6:$AU$200)+COUNTIF($AU$6:AU183,AU183)-1,"")</f>
        <v/>
      </c>
    </row>
    <row r="184" spans="22:50" x14ac:dyDescent="0.35">
      <c r="V184" s="40" t="str">
        <f t="shared" si="11"/>
        <v>--</v>
      </c>
      <c r="W184" s="40"/>
      <c r="AT184" s="27"/>
      <c r="AU184" s="34" t="str">
        <f>IF(ISBLANK(AT184),"",SUMIFS(Table1[Amount $],Table1[Amount $],"&lt;"&amp;0,Table1[Merchant],Snapshot!AT184,Table1[Month],Snapshot!$W$4)*-1)</f>
        <v/>
      </c>
      <c r="AV184" s="27" t="str">
        <f>IF(ISBLANK(AT184),"",COUNTIFS(Table1[Merchant],Snapshot!AT184,Table1[Month],Snapshot!$W$4))</f>
        <v/>
      </c>
      <c r="AW184" s="27" t="str">
        <f>IFERROR(RANK(AV184,$AV$6:$AV$200)+COUNTIF($AV$6:AV184,AV184)-1,"")</f>
        <v/>
      </c>
      <c r="AX184" s="27" t="str">
        <f>IFERROR(RANK(AU184,$AU$6:$AU$200)+COUNTIF($AU$6:AU184,AU184)-1,"")</f>
        <v/>
      </c>
    </row>
    <row r="185" spans="22:50" x14ac:dyDescent="0.35">
      <c r="V185" s="40" t="str">
        <f t="shared" si="11"/>
        <v>--</v>
      </c>
      <c r="W185" s="40"/>
      <c r="AT185" s="27"/>
      <c r="AU185" s="34" t="str">
        <f>IF(ISBLANK(AT185),"",SUMIFS(Table1[Amount $],Table1[Amount $],"&lt;"&amp;0,Table1[Merchant],Snapshot!AT185,Table1[Month],Snapshot!$W$4)*-1)</f>
        <v/>
      </c>
      <c r="AV185" s="27" t="str">
        <f>IF(ISBLANK(AT185),"",COUNTIFS(Table1[Merchant],Snapshot!AT185,Table1[Month],Snapshot!$W$4))</f>
        <v/>
      </c>
      <c r="AW185" s="27" t="str">
        <f>IFERROR(RANK(AV185,$AV$6:$AV$200)+COUNTIF($AV$6:AV185,AV185)-1,"")</f>
        <v/>
      </c>
      <c r="AX185" s="27" t="str">
        <f>IFERROR(RANK(AU185,$AU$6:$AU$200)+COUNTIF($AU$6:AU185,AU185)-1,"")</f>
        <v/>
      </c>
    </row>
    <row r="186" spans="22:50" x14ac:dyDescent="0.35">
      <c r="V186" s="40" t="str">
        <f t="shared" si="11"/>
        <v>--</v>
      </c>
      <c r="W186" s="40"/>
      <c r="AT186" s="27"/>
      <c r="AU186" s="34" t="str">
        <f>IF(ISBLANK(AT186),"",SUMIFS(Table1[Amount $],Table1[Amount $],"&lt;"&amp;0,Table1[Merchant],Snapshot!AT186,Table1[Month],Snapshot!$W$4)*-1)</f>
        <v/>
      </c>
      <c r="AV186" s="27" t="str">
        <f>IF(ISBLANK(AT186),"",COUNTIFS(Table1[Merchant],Snapshot!AT186,Table1[Month],Snapshot!$W$4))</f>
        <v/>
      </c>
      <c r="AW186" s="27" t="str">
        <f>IFERROR(RANK(AV186,$AV$6:$AV$200)+COUNTIF($AV$6:AV186,AV186)-1,"")</f>
        <v/>
      </c>
      <c r="AX186" s="27" t="str">
        <f>IFERROR(RANK(AU186,$AU$6:$AU$200)+COUNTIF($AU$6:AU186,AU186)-1,"")</f>
        <v/>
      </c>
    </row>
    <row r="187" spans="22:50" x14ac:dyDescent="0.35">
      <c r="V187" s="40" t="str">
        <f t="shared" si="11"/>
        <v>--</v>
      </c>
      <c r="W187" s="40"/>
      <c r="AT187" s="27"/>
      <c r="AU187" s="34" t="str">
        <f>IF(ISBLANK(AT187),"",SUMIFS(Table1[Amount $],Table1[Amount $],"&lt;"&amp;0,Table1[Merchant],Snapshot!AT187,Table1[Month],Snapshot!$W$4)*-1)</f>
        <v/>
      </c>
      <c r="AV187" s="27" t="str">
        <f>IF(ISBLANK(AT187),"",COUNTIFS(Table1[Merchant],Snapshot!AT187,Table1[Month],Snapshot!$W$4))</f>
        <v/>
      </c>
      <c r="AW187" s="27" t="str">
        <f>IFERROR(RANK(AV187,$AV$6:$AV$200)+COUNTIF($AV$6:AV187,AV187)-1,"")</f>
        <v/>
      </c>
      <c r="AX187" s="27" t="str">
        <f>IFERROR(RANK(AU187,$AU$6:$AU$200)+COUNTIF($AU$6:AU187,AU187)-1,"")</f>
        <v/>
      </c>
    </row>
    <row r="188" spans="22:50" x14ac:dyDescent="0.35">
      <c r="V188" s="40" t="str">
        <f t="shared" si="11"/>
        <v>--</v>
      </c>
      <c r="W188" s="40"/>
      <c r="AT188" s="27"/>
      <c r="AU188" s="34" t="str">
        <f>IF(ISBLANK(AT188),"",SUMIFS(Table1[Amount $],Table1[Amount $],"&lt;"&amp;0,Table1[Merchant],Snapshot!AT188,Table1[Month],Snapshot!$W$4)*-1)</f>
        <v/>
      </c>
      <c r="AV188" s="27" t="str">
        <f>IF(ISBLANK(AT188),"",COUNTIFS(Table1[Merchant],Snapshot!AT188,Table1[Month],Snapshot!$W$4))</f>
        <v/>
      </c>
      <c r="AW188" s="27" t="str">
        <f>IFERROR(RANK(AV188,$AV$6:$AV$200)+COUNTIF($AV$6:AV188,AV188)-1,"")</f>
        <v/>
      </c>
      <c r="AX188" s="27" t="str">
        <f>IFERROR(RANK(AU188,$AU$6:$AU$200)+COUNTIF($AU$6:AU188,AU188)-1,"")</f>
        <v/>
      </c>
    </row>
    <row r="189" spans="22:50" x14ac:dyDescent="0.35">
      <c r="V189" s="40" t="str">
        <f t="shared" si="11"/>
        <v>--</v>
      </c>
      <c r="W189" s="40"/>
      <c r="AT189" s="27"/>
      <c r="AU189" s="34" t="str">
        <f>IF(ISBLANK(AT189),"",SUMIFS(Table1[Amount $],Table1[Amount $],"&lt;"&amp;0,Table1[Merchant],Snapshot!AT189,Table1[Month],Snapshot!$W$4)*-1)</f>
        <v/>
      </c>
      <c r="AV189" s="27" t="str">
        <f>IF(ISBLANK(AT189),"",COUNTIFS(Table1[Merchant],Snapshot!AT189,Table1[Month],Snapshot!$W$4))</f>
        <v/>
      </c>
      <c r="AW189" s="27" t="str">
        <f>IFERROR(RANK(AV189,$AV$6:$AV$200)+COUNTIF($AV$6:AV189,AV189)-1,"")</f>
        <v/>
      </c>
      <c r="AX189" s="27" t="str">
        <f>IFERROR(RANK(AU189,$AU$6:$AU$200)+COUNTIF($AU$6:AU189,AU189)-1,"")</f>
        <v/>
      </c>
    </row>
    <row r="190" spans="22:50" x14ac:dyDescent="0.35">
      <c r="V190" s="40" t="str">
        <f t="shared" si="11"/>
        <v>--</v>
      </c>
      <c r="W190" s="40"/>
      <c r="AT190" s="27"/>
      <c r="AU190" s="34" t="str">
        <f>IF(ISBLANK(AT190),"",SUMIFS(Table1[Amount $],Table1[Amount $],"&lt;"&amp;0,Table1[Merchant],Snapshot!AT190,Table1[Month],Snapshot!$W$4)*-1)</f>
        <v/>
      </c>
      <c r="AV190" s="27" t="str">
        <f>IF(ISBLANK(AT190),"",COUNTIFS(Table1[Merchant],Snapshot!AT190,Table1[Month],Snapshot!$W$4))</f>
        <v/>
      </c>
      <c r="AW190" s="27" t="str">
        <f>IFERROR(RANK(AV190,$AV$6:$AV$200)+COUNTIF($AV$6:AV190,AV190)-1,"")</f>
        <v/>
      </c>
      <c r="AX190" s="27" t="str">
        <f>IFERROR(RANK(AU190,$AU$6:$AU$200)+COUNTIF($AU$6:AU190,AU190)-1,"")</f>
        <v/>
      </c>
    </row>
    <row r="191" spans="22:50" x14ac:dyDescent="0.35">
      <c r="V191" s="40" t="str">
        <f t="shared" si="11"/>
        <v>--</v>
      </c>
      <c r="W191" s="40"/>
      <c r="AT191" s="27"/>
      <c r="AU191" s="34" t="str">
        <f>IF(ISBLANK(AT191),"",SUMIFS(Table1[Amount $],Table1[Amount $],"&lt;"&amp;0,Table1[Merchant],Snapshot!AT191,Table1[Month],Snapshot!$W$4)*-1)</f>
        <v/>
      </c>
      <c r="AV191" s="27" t="str">
        <f>IF(ISBLANK(AT191),"",COUNTIFS(Table1[Merchant],Snapshot!AT191,Table1[Month],Snapshot!$W$4))</f>
        <v/>
      </c>
      <c r="AW191" s="27" t="str">
        <f>IFERROR(RANK(AV191,$AV$6:$AV$200)+COUNTIF($AV$6:AV191,AV191)-1,"")</f>
        <v/>
      </c>
      <c r="AX191" s="27" t="str">
        <f>IFERROR(RANK(AU191,$AU$6:$AU$200)+COUNTIF($AU$6:AU191,AU191)-1,"")</f>
        <v/>
      </c>
    </row>
    <row r="192" spans="22:50" x14ac:dyDescent="0.35">
      <c r="V192" s="40" t="str">
        <f t="shared" si="11"/>
        <v>--</v>
      </c>
      <c r="W192" s="40"/>
      <c r="AT192" s="27"/>
      <c r="AU192" s="34" t="str">
        <f>IF(ISBLANK(AT192),"",SUMIFS(Table1[Amount $],Table1[Amount $],"&lt;"&amp;0,Table1[Merchant],Snapshot!AT192,Table1[Month],Snapshot!$W$4)*-1)</f>
        <v/>
      </c>
      <c r="AV192" s="27" t="str">
        <f>IF(ISBLANK(AT192),"",COUNTIFS(Table1[Merchant],Snapshot!AT192,Table1[Month],Snapshot!$W$4))</f>
        <v/>
      </c>
      <c r="AW192" s="27" t="str">
        <f>IFERROR(RANK(AV192,$AV$6:$AV$200)+COUNTIF($AV$6:AV192,AV192)-1,"")</f>
        <v/>
      </c>
      <c r="AX192" s="27" t="str">
        <f>IFERROR(RANK(AU192,$AU$6:$AU$200)+COUNTIF($AU$6:AU192,AU192)-1,"")</f>
        <v/>
      </c>
    </row>
    <row r="193" spans="22:50" x14ac:dyDescent="0.35">
      <c r="V193" s="40" t="str">
        <f t="shared" si="11"/>
        <v>--</v>
      </c>
      <c r="W193" s="40"/>
      <c r="AT193" s="27"/>
      <c r="AU193" s="34" t="str">
        <f>IF(ISBLANK(AT193),"",SUMIFS(Table1[Amount $],Table1[Amount $],"&lt;"&amp;0,Table1[Merchant],Snapshot!AT193,Table1[Month],Snapshot!$W$4)*-1)</f>
        <v/>
      </c>
      <c r="AV193" s="27" t="str">
        <f>IF(ISBLANK(AT193),"",COUNTIFS(Table1[Merchant],Snapshot!AT193,Table1[Month],Snapshot!$W$4))</f>
        <v/>
      </c>
      <c r="AW193" s="27" t="str">
        <f>IFERROR(RANK(AV193,$AV$6:$AV$200)+COUNTIF($AV$6:AV193,AV193)-1,"")</f>
        <v/>
      </c>
      <c r="AX193" s="27" t="str">
        <f>IFERROR(RANK(AU193,$AU$6:$AU$200)+COUNTIF($AU$6:AU193,AU193)-1,"")</f>
        <v/>
      </c>
    </row>
    <row r="194" spans="22:50" x14ac:dyDescent="0.35">
      <c r="V194" s="40" t="str">
        <f t="shared" si="11"/>
        <v>--</v>
      </c>
      <c r="W194" s="40"/>
      <c r="AT194" s="27"/>
      <c r="AU194" s="34" t="str">
        <f>IF(ISBLANK(AT194),"",SUMIFS(Table1[Amount $],Table1[Amount $],"&lt;"&amp;0,Table1[Merchant],Snapshot!AT194,Table1[Month],Snapshot!$W$4)*-1)</f>
        <v/>
      </c>
      <c r="AV194" s="27" t="str">
        <f>IF(ISBLANK(AT194),"",COUNTIFS(Table1[Merchant],Snapshot!AT194,Table1[Month],Snapshot!$W$4))</f>
        <v/>
      </c>
      <c r="AW194" s="27" t="str">
        <f>IFERROR(RANK(AV194,$AV$6:$AV$200)+COUNTIF($AV$6:AV194,AV194)-1,"")</f>
        <v/>
      </c>
      <c r="AX194" s="27" t="str">
        <f>IFERROR(RANK(AU194,$AU$6:$AU$200)+COUNTIF($AU$6:AU194,AU194)-1,"")</f>
        <v/>
      </c>
    </row>
    <row r="195" spans="22:50" x14ac:dyDescent="0.35">
      <c r="V195" s="40" t="str">
        <f t="shared" si="11"/>
        <v>--</v>
      </c>
      <c r="W195" s="40"/>
      <c r="AT195" s="27"/>
      <c r="AU195" s="34" t="str">
        <f>IF(ISBLANK(AT195),"",SUMIFS(Table1[Amount $],Table1[Amount $],"&lt;"&amp;0,Table1[Merchant],Snapshot!AT195,Table1[Month],Snapshot!$W$4)*-1)</f>
        <v/>
      </c>
      <c r="AV195" s="27" t="str">
        <f>IF(ISBLANK(AT195),"",COUNTIFS(Table1[Merchant],Snapshot!AT195,Table1[Month],Snapshot!$W$4))</f>
        <v/>
      </c>
      <c r="AW195" s="27" t="str">
        <f>IFERROR(RANK(AV195,$AV$6:$AV$200)+COUNTIF($AV$6:AV195,AV195)-1,"")</f>
        <v/>
      </c>
      <c r="AX195" s="27" t="str">
        <f>IFERROR(RANK(AU195,$AU$6:$AU$200)+COUNTIF($AU$6:AU195,AU195)-1,"")</f>
        <v/>
      </c>
    </row>
    <row r="196" spans="22:50" x14ac:dyDescent="0.35">
      <c r="V196" s="40" t="str">
        <f t="shared" si="11"/>
        <v>--</v>
      </c>
      <c r="W196" s="40"/>
      <c r="AT196" s="27"/>
      <c r="AU196" s="34" t="str">
        <f>IF(ISBLANK(AT196),"",SUMIFS(Table1[Amount $],Table1[Amount $],"&lt;"&amp;0,Table1[Merchant],Snapshot!AT196,Table1[Month],Snapshot!$W$4)*-1)</f>
        <v/>
      </c>
      <c r="AV196" s="27" t="str">
        <f>IF(ISBLANK(AT196),"",COUNTIFS(Table1[Merchant],Snapshot!AT196,Table1[Month],Snapshot!$W$4))</f>
        <v/>
      </c>
      <c r="AW196" s="27" t="str">
        <f>IFERROR(RANK(AV196,$AV$6:$AV$200)+COUNTIF($AV$6:AV196,AV196)-1,"")</f>
        <v/>
      </c>
      <c r="AX196" s="27" t="str">
        <f>IFERROR(RANK(AU196,$AU$6:$AU$200)+COUNTIF($AU$6:AU196,AU196)-1,"")</f>
        <v/>
      </c>
    </row>
    <row r="197" spans="22:50" x14ac:dyDescent="0.35">
      <c r="V197" s="40" t="str">
        <f t="shared" si="11"/>
        <v>--</v>
      </c>
      <c r="W197" s="40"/>
      <c r="AT197" s="27"/>
      <c r="AU197" s="34" t="str">
        <f>IF(ISBLANK(AT197),"",SUMIFS(Table1[Amount $],Table1[Amount $],"&lt;"&amp;0,Table1[Merchant],Snapshot!AT197,Table1[Month],Snapshot!$W$4)*-1)</f>
        <v/>
      </c>
      <c r="AV197" s="27" t="str">
        <f>IF(ISBLANK(AT197),"",COUNTIFS(Table1[Merchant],Snapshot!AT197,Table1[Month],Snapshot!$W$4))</f>
        <v/>
      </c>
      <c r="AW197" s="27" t="str">
        <f>IFERROR(RANK(AV197,$AV$6:$AV$200)+COUNTIF($AV$6:AV197,AV197)-1,"")</f>
        <v/>
      </c>
      <c r="AX197" s="27" t="str">
        <f>IFERROR(RANK(AU197,$AU$6:$AU$200)+COUNTIF($AU$6:AU197,AU197)-1,"")</f>
        <v/>
      </c>
    </row>
    <row r="198" spans="22:50" x14ac:dyDescent="0.35">
      <c r="V198" s="40" t="str">
        <f t="shared" si="11"/>
        <v>--</v>
      </c>
      <c r="W198" s="40"/>
      <c r="AT198" s="27"/>
      <c r="AU198" s="34" t="str">
        <f>IF(ISBLANK(AT198),"",SUMIFS(Table1[Amount $],Table1[Amount $],"&lt;"&amp;0,Table1[Merchant],Snapshot!AT198,Table1[Month],Snapshot!$W$4)*-1)</f>
        <v/>
      </c>
      <c r="AV198" s="27" t="str">
        <f>IF(ISBLANK(AT198),"",COUNTIFS(Table1[Merchant],Snapshot!AT198,Table1[Month],Snapshot!$W$4))</f>
        <v/>
      </c>
      <c r="AW198" s="27" t="str">
        <f>IFERROR(RANK(AV198,$AV$6:$AV$200)+COUNTIF($AV$6:AV198,AV198)-1,"")</f>
        <v/>
      </c>
      <c r="AX198" s="27" t="str">
        <f>IFERROR(RANK(AU198,$AU$6:$AU$200)+COUNTIF($AU$6:AU198,AU198)-1,"")</f>
        <v/>
      </c>
    </row>
    <row r="199" spans="22:50" x14ac:dyDescent="0.35">
      <c r="V199" s="40" t="str">
        <f t="shared" si="11"/>
        <v>--</v>
      </c>
      <c r="W199" s="40"/>
      <c r="AT199" s="27"/>
      <c r="AU199" s="34" t="str">
        <f>IF(ISBLANK(AT199),"",SUMIFS(Table1[Amount $],Table1[Amount $],"&lt;"&amp;0,Table1[Merchant],Snapshot!AT199,Table1[Month],Snapshot!$W$4)*-1)</f>
        <v/>
      </c>
      <c r="AV199" s="27" t="str">
        <f>IF(ISBLANK(AT199),"",COUNTIFS(Table1[Merchant],Snapshot!AT199,Table1[Month],Snapshot!$W$4))</f>
        <v/>
      </c>
      <c r="AW199" s="27" t="str">
        <f>IFERROR(RANK(AV199,$AV$6:$AV$200)+COUNTIF($AV$6:AV199,AV199)-1,"")</f>
        <v/>
      </c>
      <c r="AX199" s="27" t="str">
        <f>IFERROR(RANK(AU199,$AU$6:$AU$200)+COUNTIF($AU$6:AU199,AU199)-1,"")</f>
        <v/>
      </c>
    </row>
    <row r="200" spans="22:50" x14ac:dyDescent="0.35">
      <c r="V200" s="40" t="str">
        <f t="shared" ref="V200" si="12">IF(ISBLANK(W200),"--",TEXT(W200,"mmmm")&amp;" "&amp;TEXT(W200,"YYYY"))</f>
        <v>--</v>
      </c>
      <c r="W200" s="40"/>
      <c r="AT200" s="27"/>
      <c r="AU200" s="34" t="str">
        <f>IF(ISBLANK(AT200),"",SUMIFS(Table1[Amount $],Table1[Amount $],"&lt;"&amp;0,Table1[Merchant],Snapshot!AT200,Table1[Month],Snapshot!$W$4)*-1)</f>
        <v/>
      </c>
      <c r="AV200" s="27" t="str">
        <f>IF(ISBLANK(AT200),"",COUNTIFS(Table1[Merchant],Snapshot!AT200,Table1[Month],Snapshot!$W$4))</f>
        <v/>
      </c>
      <c r="AW200" s="27" t="str">
        <f>IFERROR(RANK(AV200,$AV$6:$AV$200)+COUNTIF($AV$6:AV200,AV200)-1,"")</f>
        <v/>
      </c>
      <c r="AX200" s="27" t="str">
        <f>IFERROR(RANK(AU200,$AU$6:$AU$200)+COUNTIF($AU$6:AU200,AU200)-1,"")</f>
        <v/>
      </c>
    </row>
  </sheetData>
  <mergeCells count="3">
    <mergeCell ref="C2:P2"/>
    <mergeCell ref="Q4:S4"/>
    <mergeCell ref="C4:O4"/>
  </mergeCells>
  <conditionalFormatting sqref="Z57">
    <cfRule type="expression" dxfId="43" priority="14">
      <formula>$Z$57&gt;=0</formula>
    </cfRule>
    <cfRule type="expression" dxfId="42" priority="16">
      <formula>$Z$57&lt;0</formula>
    </cfRule>
  </conditionalFormatting>
  <conditionalFormatting sqref="P20">
    <cfRule type="expression" dxfId="41" priority="13">
      <formula>$S20=0</formula>
    </cfRule>
  </conditionalFormatting>
  <conditionalFormatting sqref="P18">
    <cfRule type="expression" dxfId="40" priority="12">
      <formula>$S$18=0</formula>
    </cfRule>
  </conditionalFormatting>
  <conditionalFormatting sqref="P16">
    <cfRule type="expression" dxfId="39" priority="11">
      <formula>$S$16=0</formula>
    </cfRule>
  </conditionalFormatting>
  <conditionalFormatting sqref="P14">
    <cfRule type="expression" dxfId="38" priority="10">
      <formula>$S$14=0</formula>
    </cfRule>
  </conditionalFormatting>
  <conditionalFormatting sqref="P12">
    <cfRule type="expression" dxfId="37" priority="9">
      <formula>$S$12=0</formula>
    </cfRule>
  </conditionalFormatting>
  <conditionalFormatting sqref="S20">
    <cfRule type="expression" dxfId="36" priority="8">
      <formula>$S$20=0</formula>
    </cfRule>
  </conditionalFormatting>
  <conditionalFormatting sqref="S18">
    <cfRule type="expression" dxfId="35" priority="7">
      <formula>$S$18=0</formula>
    </cfRule>
  </conditionalFormatting>
  <conditionalFormatting sqref="S16">
    <cfRule type="expression" dxfId="34" priority="6">
      <formula>$S$16=0</formula>
    </cfRule>
  </conditionalFormatting>
  <conditionalFormatting sqref="S14">
    <cfRule type="expression" dxfId="33" priority="5">
      <formula>$S$14=0</formula>
    </cfRule>
  </conditionalFormatting>
  <conditionalFormatting sqref="S12">
    <cfRule type="expression" dxfId="32" priority="4">
      <formula>$S$12=0</formula>
    </cfRule>
  </conditionalFormatting>
  <conditionalFormatting sqref="S10">
    <cfRule type="expression" dxfId="31" priority="3">
      <formula>$S$10=0</formula>
    </cfRule>
  </conditionalFormatting>
  <conditionalFormatting sqref="P10">
    <cfRule type="expression" dxfId="30" priority="2">
      <formula>$S$10=0</formula>
    </cfRule>
  </conditionalFormatting>
  <conditionalFormatting sqref="M8">
    <cfRule type="expression" dxfId="29" priority="1">
      <formula>$S$22=0</formula>
    </cfRule>
  </conditionalFormatting>
  <dataValidations count="2">
    <dataValidation type="list" allowBlank="1" showInputMessage="1" showErrorMessage="1" sqref="Q4" xr:uid="{3FE88EC2-B73E-4CDE-AC6E-4A65F4D75E2F}">
      <formula1>Months</formula1>
    </dataValidation>
    <dataValidation allowBlank="1" showInputMessage="1" showErrorMessage="1" promptTitle="Snapshot" prompt="See your spending trends month over month with easy to read graphs. To switch months, click on the blue date box in columns Q to S." sqref="A1" xr:uid="{299E8B16-7D7A-4E06-8652-8B23BB64B79D}"/>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624E-8916-451B-B3D9-53C1545321CF}">
  <dimension ref="A1:R8"/>
  <sheetViews>
    <sheetView showGridLines="0" zoomScaleNormal="100" workbookViewId="0">
      <pane ySplit="6" topLeftCell="A7" activePane="bottomLeft" state="frozen"/>
      <selection activeCell="S3" sqref="S3"/>
      <selection pane="bottomLeft"/>
    </sheetView>
  </sheetViews>
  <sheetFormatPr defaultColWidth="8.81640625" defaultRowHeight="14.5" outlineLevelCol="1" x14ac:dyDescent="0.35"/>
  <cols>
    <col min="1" max="1" width="1.36328125" style="16" customWidth="1"/>
    <col min="2" max="2" width="13.453125" style="16" customWidth="1"/>
    <col min="3" max="4" width="25.36328125" style="16" customWidth="1"/>
    <col min="5" max="5" width="15.453125" style="127" customWidth="1"/>
    <col min="6" max="6" width="25.36328125" style="16" customWidth="1"/>
    <col min="7" max="7" width="21.453125" style="16" customWidth="1"/>
    <col min="8" max="8" width="16.08984375" style="16" bestFit="1" customWidth="1"/>
    <col min="9" max="10" width="16.08984375" style="16" hidden="1" customWidth="1" outlineLevel="1"/>
    <col min="11" max="12" width="18.08984375" style="16" hidden="1" customWidth="1" outlineLevel="1"/>
    <col min="13" max="13" width="11.81640625" style="16" hidden="1" customWidth="1" outlineLevel="1"/>
    <col min="14" max="14" width="14.36328125" style="16" hidden="1" customWidth="1" outlineLevel="1"/>
    <col min="15" max="15" width="12.36328125" style="16" hidden="1" customWidth="1" outlineLevel="1"/>
    <col min="16" max="16" width="20.36328125" style="16" hidden="1" customWidth="1" outlineLevel="1"/>
    <col min="17" max="17" width="10.36328125" style="16" hidden="1" customWidth="1" outlineLevel="1"/>
    <col min="18" max="18" width="8.81640625" style="16" customWidth="1" collapsed="1"/>
    <col min="19" max="16384" width="8.81640625" style="16"/>
  </cols>
  <sheetData>
    <row r="1" spans="1:18" s="8" customFormat="1" ht="5" customHeight="1" x14ac:dyDescent="0.35">
      <c r="A1" s="105"/>
      <c r="B1" s="5"/>
      <c r="C1" s="5"/>
      <c r="D1" s="5"/>
      <c r="E1" s="106"/>
      <c r="F1" s="5"/>
      <c r="G1" s="5"/>
      <c r="H1" s="5"/>
      <c r="I1" s="5"/>
      <c r="J1" s="5"/>
      <c r="K1" s="5"/>
      <c r="L1" s="5"/>
      <c r="M1" s="5"/>
      <c r="N1" s="5"/>
      <c r="O1" s="107"/>
      <c r="P1" s="107"/>
      <c r="Q1" s="108"/>
    </row>
    <row r="2" spans="1:18" s="8" customFormat="1" ht="40.5" customHeight="1" x14ac:dyDescent="0.8">
      <c r="B2" s="148" t="s">
        <v>65</v>
      </c>
      <c r="C2" s="155"/>
      <c r="D2" s="155"/>
      <c r="E2" s="155"/>
      <c r="F2" s="155"/>
      <c r="G2" s="155"/>
      <c r="H2" s="155"/>
      <c r="I2" s="109"/>
      <c r="J2" s="109"/>
      <c r="K2" s="109"/>
      <c r="L2" s="109"/>
      <c r="M2" s="109"/>
      <c r="N2" s="109"/>
      <c r="O2" s="110"/>
      <c r="P2" s="110"/>
      <c r="Q2" s="109"/>
    </row>
    <row r="3" spans="1:18" ht="40.5" customHeight="1" x14ac:dyDescent="0.35">
      <c r="A3" s="23"/>
      <c r="B3" s="156" t="s">
        <v>66</v>
      </c>
      <c r="C3" s="157"/>
      <c r="D3" s="157"/>
      <c r="E3" s="157"/>
      <c r="F3" s="154"/>
      <c r="G3" s="154"/>
      <c r="H3" s="154"/>
      <c r="I3" s="111"/>
      <c r="J3" s="111"/>
      <c r="K3" s="111"/>
      <c r="L3" s="111"/>
      <c r="M3" s="111"/>
      <c r="N3" s="111"/>
      <c r="O3" s="111"/>
      <c r="P3" s="111"/>
      <c r="Q3" s="111"/>
      <c r="R3" s="23"/>
    </row>
    <row r="4" spans="1:18" ht="2" customHeight="1" x14ac:dyDescent="0.35">
      <c r="A4" s="23"/>
      <c r="B4" s="112"/>
      <c r="C4" s="112"/>
      <c r="D4" s="112"/>
      <c r="E4" s="112"/>
      <c r="F4" s="112"/>
      <c r="G4" s="112"/>
      <c r="H4" s="112"/>
      <c r="I4" s="111"/>
      <c r="J4" s="111"/>
      <c r="K4" s="111"/>
      <c r="L4" s="111"/>
      <c r="M4" s="111"/>
      <c r="N4" s="111"/>
      <c r="O4" s="111"/>
      <c r="P4" s="111"/>
      <c r="Q4" s="111"/>
      <c r="R4" s="23"/>
    </row>
    <row r="5" spans="1:18" ht="13.25" customHeight="1" x14ac:dyDescent="0.35">
      <c r="A5" s="23"/>
      <c r="B5" s="143"/>
      <c r="C5" s="144"/>
      <c r="D5" s="144"/>
      <c r="E5" s="144"/>
      <c r="F5" s="144"/>
      <c r="G5" s="144"/>
      <c r="H5" s="144"/>
      <c r="I5" s="111"/>
      <c r="J5" s="111"/>
      <c r="K5" s="111"/>
      <c r="L5" s="111"/>
      <c r="M5" s="111"/>
      <c r="N5" s="111"/>
      <c r="O5" s="111"/>
      <c r="P5" s="111"/>
      <c r="Q5" s="111"/>
      <c r="R5" s="23"/>
    </row>
    <row r="6" spans="1:18" s="113" customFormat="1" ht="18" customHeight="1" x14ac:dyDescent="0.45">
      <c r="B6" s="114" t="s">
        <v>67</v>
      </c>
      <c r="C6" s="115" t="s">
        <v>64</v>
      </c>
      <c r="D6" s="115" t="s">
        <v>42</v>
      </c>
      <c r="E6" s="116" t="s">
        <v>68</v>
      </c>
      <c r="F6" s="117" t="s">
        <v>69</v>
      </c>
      <c r="G6" s="118" t="s">
        <v>70</v>
      </c>
      <c r="H6" s="117" t="s">
        <v>71</v>
      </c>
      <c r="I6" s="119" t="s">
        <v>72</v>
      </c>
      <c r="J6" s="119" t="s">
        <v>73</v>
      </c>
      <c r="K6" s="119" t="s">
        <v>74</v>
      </c>
      <c r="L6" s="119" t="s">
        <v>75</v>
      </c>
      <c r="M6" s="119" t="s">
        <v>76</v>
      </c>
      <c r="N6" s="119" t="s">
        <v>77</v>
      </c>
      <c r="O6" s="119" t="s">
        <v>78</v>
      </c>
      <c r="P6" s="119" t="s">
        <v>79</v>
      </c>
      <c r="Q6" s="119" t="s">
        <v>80</v>
      </c>
    </row>
    <row r="7" spans="1:18" ht="15.5" x14ac:dyDescent="0.35">
      <c r="B7" s="120"/>
      <c r="C7" s="121"/>
      <c r="D7" s="121"/>
      <c r="E7" s="122"/>
      <c r="G7" s="100"/>
      <c r="H7" s="100"/>
      <c r="I7" s="100"/>
      <c r="J7" s="123"/>
      <c r="K7" s="123"/>
      <c r="L7" s="124" t="str" cm="1">
        <f t="array" ref="L7">IFERROR(INDEX(Table2[Category Type],MATCH(Table1[[#This Row],[Category]],Table2[Category Name],0),0),"")</f>
        <v/>
      </c>
      <c r="M7" s="124">
        <f>DAY(Table1[[#This Row],[Date]])</f>
        <v>0</v>
      </c>
      <c r="N7" s="124">
        <f>MONTH(Table1[[#This Row],[Date]])</f>
        <v>1</v>
      </c>
      <c r="O7" s="124">
        <f>YEAR(Table1[[#This Row],[Date]])</f>
        <v>1900</v>
      </c>
      <c r="P7" s="125" t="str">
        <f>IF(ISBLANK(Table1[[#This Row],[Date]]),"",Table1[[#This Row],[Date]]-WEEKDAY(Table1[[#This Row],[Date]],2)+1)</f>
        <v/>
      </c>
      <c r="Q7" s="126" t="str">
        <f>IF(ISBLANK(Table1[[#This Row],[Date]]),"",DATE(Table1[[#This Row],[Date_Year]],Table1[[#This Row],[Date_Month]],1))</f>
        <v/>
      </c>
    </row>
    <row r="8" spans="1:18" ht="15.5" x14ac:dyDescent="0.35">
      <c r="B8" s="120"/>
      <c r="C8" s="121"/>
      <c r="D8" s="121"/>
      <c r="E8" s="122"/>
      <c r="G8" s="100"/>
      <c r="H8" s="100"/>
      <c r="I8" s="100"/>
      <c r="J8" s="123"/>
      <c r="K8" s="123"/>
      <c r="L8" s="124" t="str" cm="1">
        <f t="array" ref="L8">IFERROR(INDEX(Table2[Category Type],MATCH(Table1[[#This Row],[Category]],Table2[Category Name],0),0),"")</f>
        <v/>
      </c>
      <c r="M8" s="124"/>
      <c r="N8" s="124"/>
      <c r="O8" s="124"/>
      <c r="P8" s="125"/>
      <c r="Q8" s="126"/>
    </row>
  </sheetData>
  <sheetProtection insertRows="0" sort="0"/>
  <mergeCells count="2">
    <mergeCell ref="B2:H2"/>
    <mergeCell ref="B3:H3"/>
  </mergeCells>
  <conditionalFormatting sqref="E7">
    <cfRule type="expression" dxfId="28" priority="8">
      <formula>$E7&gt;0</formula>
    </cfRule>
  </conditionalFormatting>
  <conditionalFormatting sqref="D7">
    <cfRule type="expression" dxfId="27" priority="1">
      <formula>COUNTA($B7:$C7)=0</formula>
    </cfRule>
    <cfRule type="expression" dxfId="26" priority="3">
      <formula>NOT(ISNUMBER(MATCH($D7,Categories,0)))</formula>
    </cfRule>
  </conditionalFormatting>
  <dataValidations count="4">
    <dataValidation allowBlank="1" showInputMessage="1" showErrorMessage="1" promptTitle="&quot;Category Filter&quot; Slicer" prompt="Choose categories in slicer to filter the Transactions table below" sqref="F1" xr:uid="{3EFD49C3-B456-4339-B033-286684B3D63C}"/>
    <dataValidation allowBlank="1" showInputMessage="1" showErrorMessage="1" promptTitle="&quot;Month Filter&quot; Slicer" prompt="Choose months in slicer to filter the Transactions table below_x000a_" sqref="H1" xr:uid="{8AA570C5-8547-4A71-8812-4BC4C7C5D75F}"/>
    <dataValidation allowBlank="1" showInputMessage="1" showErrorMessage="1" promptTitle="Transactions" prompt="Transactions from your added accounts are automatically imported here. Click Update in the task pane to import more transactions. Edit the Merchant and Category columns to better reflect where and how you spend your money." sqref="A1" xr:uid="{082D66B4-CDDE-48CF-BEF6-8B5BD1FB5626}"/>
    <dataValidation type="list" allowBlank="1" showInputMessage="1" showErrorMessage="1" sqref="D7" xr:uid="{B5EF1D71-7A32-4811-8870-EED801877F12}">
      <formula1>Categories</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8BD4-B995-1D44-AD5B-D093BFA01DB2}">
  <dimension ref="A1:L44"/>
  <sheetViews>
    <sheetView showGridLines="0" zoomScaleNormal="100" workbookViewId="0"/>
  </sheetViews>
  <sheetFormatPr defaultColWidth="8.81640625" defaultRowHeight="15.5" outlineLevelCol="1" x14ac:dyDescent="0.35"/>
  <cols>
    <col min="1" max="1" width="1.453125" style="16" customWidth="1"/>
    <col min="2" max="2" width="35.81640625" style="16" customWidth="1"/>
    <col min="3" max="3" width="49.08984375" style="16" hidden="1" customWidth="1" outlineLevel="1"/>
    <col min="4" max="4" width="55.36328125" style="16" customWidth="1" collapsed="1"/>
    <col min="5" max="5" width="26.453125" style="140" customWidth="1"/>
    <col min="6" max="6" width="8.81640625" style="16"/>
    <col min="7" max="7" width="9.453125" style="16" hidden="1" customWidth="1" outlineLevel="1"/>
    <col min="8" max="8" width="7.08984375" style="16" hidden="1" customWidth="1" outlineLevel="1"/>
    <col min="9" max="9" width="7" style="16" hidden="1" customWidth="1" outlineLevel="1"/>
    <col min="10" max="11" width="21.6328125" style="16" hidden="1" customWidth="1" outlineLevel="1"/>
    <col min="12" max="12" width="8.81640625" style="16" collapsed="1"/>
    <col min="13" max="16384" width="8.81640625" style="16"/>
  </cols>
  <sheetData>
    <row r="1" spans="1:11" s="15" customFormat="1" ht="5" customHeight="1" x14ac:dyDescent="0.35">
      <c r="A1" s="16"/>
      <c r="B1" s="5"/>
      <c r="C1" s="5"/>
      <c r="D1" s="5"/>
      <c r="E1" s="5"/>
    </row>
    <row r="2" spans="1:11" ht="40.5" customHeight="1" x14ac:dyDescent="0.8">
      <c r="B2" s="148" t="s">
        <v>81</v>
      </c>
      <c r="C2" s="155"/>
      <c r="D2" s="155"/>
      <c r="E2" s="155"/>
    </row>
    <row r="3" spans="1:11" ht="40.5" customHeight="1" x14ac:dyDescent="0.35">
      <c r="B3" s="153" t="s">
        <v>82</v>
      </c>
      <c r="C3" s="160"/>
      <c r="D3" s="160"/>
      <c r="E3" s="160"/>
    </row>
    <row r="4" spans="1:11" ht="2" customHeight="1" x14ac:dyDescent="0.35">
      <c r="B4" s="112"/>
      <c r="C4" s="112"/>
      <c r="D4" s="112"/>
      <c r="E4" s="112"/>
    </row>
    <row r="5" spans="1:11" ht="12.5" customHeight="1" thickBot="1" x14ac:dyDescent="0.4">
      <c r="E5" s="16"/>
      <c r="G5" s="128" t="s">
        <v>81</v>
      </c>
      <c r="H5" s="128"/>
      <c r="I5" s="128"/>
      <c r="J5" s="128"/>
      <c r="K5" s="128"/>
    </row>
    <row r="6" spans="1:11" s="129" customFormat="1" ht="16.25" customHeight="1" x14ac:dyDescent="0.35">
      <c r="C6" s="130" t="s">
        <v>83</v>
      </c>
      <c r="D6" s="130" t="s">
        <v>84</v>
      </c>
      <c r="E6" s="131" t="s">
        <v>75</v>
      </c>
      <c r="G6" s="132" t="s">
        <v>85</v>
      </c>
      <c r="H6" s="132" t="s">
        <v>43</v>
      </c>
      <c r="I6" s="132" t="s">
        <v>45</v>
      </c>
      <c r="J6" s="132" t="s">
        <v>86</v>
      </c>
      <c r="K6" s="48" t="s">
        <v>87</v>
      </c>
    </row>
    <row r="7" spans="1:11" ht="16.25" customHeight="1" x14ac:dyDescent="0.35">
      <c r="B7" s="158" t="s">
        <v>110</v>
      </c>
      <c r="C7" s="133"/>
      <c r="D7" s="134" t="s">
        <v>88</v>
      </c>
      <c r="E7" s="133" t="s">
        <v>88</v>
      </c>
      <c r="G7" s="94" t="str">
        <f>IF(COUNTA(Table2[[#This Row],[Category Name]:[Category Type]])=2,"YES","")</f>
        <v>YES</v>
      </c>
      <c r="H7" s="94">
        <f>IF(G7="","",COUNTIF($G$7:G7,"YES"))</f>
        <v>1</v>
      </c>
      <c r="I7" s="94">
        <f>IF(ROW()-6&gt;MAX($H$7:$H$44),"--",ROW()-6)</f>
        <v>1</v>
      </c>
      <c r="J7" s="94" t="str" cm="1">
        <f t="array" ref="J7">IFERROR(INDEX(Table2[Category Name],MATCH(I7,$H$7:$H$44,0),0),"--")</f>
        <v>Income</v>
      </c>
      <c r="K7" s="135" t="str" cm="1">
        <f t="array" aca="1" ref="K7:K24" ca="1">OFFSET(Categories!$J$7,0,0,COUNTIF(Categories!$J$7:$J$44,"&lt;&gt;"&amp;"--"),1)</f>
        <v>Income</v>
      </c>
    </row>
    <row r="8" spans="1:11" ht="16.25" customHeight="1" x14ac:dyDescent="0.35">
      <c r="B8" s="159"/>
      <c r="C8" s="133"/>
      <c r="D8" s="134" t="s">
        <v>89</v>
      </c>
      <c r="E8" s="133" t="s">
        <v>90</v>
      </c>
      <c r="G8" s="16" t="str">
        <f>IF(COUNTA(Table2[[#This Row],[Category Name]:[Category Type]])=2,"YES","")</f>
        <v>YES</v>
      </c>
      <c r="H8" s="16">
        <f>IF(G8="","",COUNTIF($G$7:G8,"YES"))</f>
        <v>2</v>
      </c>
      <c r="I8" s="16">
        <f t="shared" ref="I8:I44" si="0">IF(ROW()-6&gt;MAX($H$7:$H$44),"--",ROW()-6)</f>
        <v>2</v>
      </c>
      <c r="J8" s="16" t="str" cm="1">
        <f t="array" ref="J8">IFERROR(INDEX(Table2[Category Name],MATCH(I8,$H$7:$H$44,0),0),"--")</f>
        <v>Refund</v>
      </c>
      <c r="K8" s="16" t="str">
        <f ca="1"/>
        <v>Refund</v>
      </c>
    </row>
    <row r="9" spans="1:11" ht="16.25" customHeight="1" x14ac:dyDescent="0.35">
      <c r="B9" s="159"/>
      <c r="C9" s="133"/>
      <c r="D9" s="134" t="s">
        <v>90</v>
      </c>
      <c r="E9" s="133" t="s">
        <v>90</v>
      </c>
      <c r="G9" s="16" t="str">
        <f>IF(COUNTA(Table2[[#This Row],[Category Name]:[Category Type]])=2,"YES","")</f>
        <v>YES</v>
      </c>
      <c r="H9" s="16">
        <f>IF(G9="","",COUNTIF($G$7:G9,"YES"))</f>
        <v>3</v>
      </c>
      <c r="I9" s="16">
        <f t="shared" si="0"/>
        <v>3</v>
      </c>
      <c r="J9" s="16" t="str" cm="1">
        <f t="array" ref="J9">IFERROR(INDEX(Table2[Category Name],MATCH(I9,$H$7:$H$44,0),0),"--")</f>
        <v>Transfer</v>
      </c>
      <c r="K9" s="16" t="str">
        <f ca="1"/>
        <v>Transfer</v>
      </c>
    </row>
    <row r="10" spans="1:11" ht="16.25" customHeight="1" x14ac:dyDescent="0.35">
      <c r="B10" s="159"/>
      <c r="C10" s="133"/>
      <c r="D10" s="134" t="s">
        <v>91</v>
      </c>
      <c r="E10" s="133" t="s">
        <v>92</v>
      </c>
      <c r="G10" s="16" t="str">
        <f>IF(COUNTA(Table2[[#This Row],[Category Name]:[Category Type]])=2,"YES","")</f>
        <v>YES</v>
      </c>
      <c r="H10" s="16">
        <f>IF(G10="","",COUNTIF($G$7:G10,"YES"))</f>
        <v>4</v>
      </c>
      <c r="I10" s="16">
        <f t="shared" si="0"/>
        <v>4</v>
      </c>
      <c r="J10" s="16" t="str" cm="1">
        <f t="array" ref="J10">IFERROR(INDEX(Table2[Category Name],MATCH(I10,$H$7:$H$44,0),0),"--")</f>
        <v>Auto/Transport</v>
      </c>
      <c r="K10" s="16" t="str">
        <f ca="1"/>
        <v>Auto/Transport</v>
      </c>
    </row>
    <row r="11" spans="1:11" ht="16.25" customHeight="1" x14ac:dyDescent="0.35">
      <c r="B11" s="159"/>
      <c r="C11" s="133"/>
      <c r="D11" s="134" t="s">
        <v>93</v>
      </c>
      <c r="E11" s="133" t="s">
        <v>92</v>
      </c>
      <c r="G11" s="16" t="str">
        <f>IF(COUNTA(Table2[[#This Row],[Category Name]:[Category Type]])=2,"YES","")</f>
        <v>YES</v>
      </c>
      <c r="H11" s="16">
        <f>IF(G11="","",COUNTIF($G$7:G11,"YES"))</f>
        <v>5</v>
      </c>
      <c r="I11" s="16">
        <f t="shared" si="0"/>
        <v>5</v>
      </c>
      <c r="J11" s="16" t="str" cm="1">
        <f t="array" ref="J11">IFERROR(INDEX(Table2[Category Name],MATCH(I11,$H$7:$H$44,0),0),"--")</f>
        <v>Bills/Utilities</v>
      </c>
      <c r="K11" s="16" t="str">
        <f ca="1"/>
        <v>Bills/Utilities</v>
      </c>
    </row>
    <row r="12" spans="1:11" ht="16.25" customHeight="1" x14ac:dyDescent="0.35">
      <c r="B12" s="159"/>
      <c r="C12" s="133"/>
      <c r="D12" s="134" t="s">
        <v>94</v>
      </c>
      <c r="E12" s="133" t="s">
        <v>92</v>
      </c>
      <c r="G12" s="16" t="str">
        <f>IF(COUNTA(Table2[[#This Row],[Category Name]:[Category Type]])=2,"YES","")</f>
        <v>YES</v>
      </c>
      <c r="H12" s="16">
        <f>IF(G12="","",COUNTIF($G$7:G12,"YES"))</f>
        <v>6</v>
      </c>
      <c r="I12" s="16">
        <f t="shared" si="0"/>
        <v>6</v>
      </c>
      <c r="J12" s="16" t="str" cm="1">
        <f t="array" ref="J12">IFERROR(INDEX(Table2[Category Name],MATCH(I12,$H$7:$H$44,0),0),"--")</f>
        <v>Entertainment</v>
      </c>
      <c r="K12" s="16" t="str">
        <f ca="1"/>
        <v>Entertainment</v>
      </c>
    </row>
    <row r="13" spans="1:11" ht="16.25" customHeight="1" x14ac:dyDescent="0.35">
      <c r="B13" s="159"/>
      <c r="C13" s="133"/>
      <c r="D13" s="134" t="s">
        <v>95</v>
      </c>
      <c r="E13" s="133" t="s">
        <v>92</v>
      </c>
      <c r="G13" s="16" t="str">
        <f>IF(COUNTA(Table2[[#This Row],[Category Name]:[Category Type]])=2,"YES","")</f>
        <v>YES</v>
      </c>
      <c r="H13" s="16">
        <f>IF(G13="","",COUNTIF($G$7:G13,"YES"))</f>
        <v>7</v>
      </c>
      <c r="I13" s="16">
        <f t="shared" si="0"/>
        <v>7</v>
      </c>
      <c r="J13" s="16" t="str" cm="1">
        <f t="array" ref="J13">IFERROR(INDEX(Table2[Category Name],MATCH(I13,$H$7:$H$44,0),0),"--")</f>
        <v>Fees/Charges</v>
      </c>
      <c r="K13" s="16" t="str">
        <f ca="1"/>
        <v>Fees/Charges</v>
      </c>
    </row>
    <row r="14" spans="1:11" ht="16.25" customHeight="1" x14ac:dyDescent="0.35">
      <c r="B14" s="159"/>
      <c r="C14" s="133"/>
      <c r="D14" s="134" t="s">
        <v>96</v>
      </c>
      <c r="E14" s="133" t="s">
        <v>92</v>
      </c>
      <c r="G14" s="16" t="str">
        <f>IF(COUNTA(Table2[[#This Row],[Category Name]:[Category Type]])=2,"YES","")</f>
        <v>YES</v>
      </c>
      <c r="H14" s="16">
        <f>IF(G14="","",COUNTIF($G$7:G14,"YES"))</f>
        <v>8</v>
      </c>
      <c r="I14" s="16">
        <f t="shared" si="0"/>
        <v>8</v>
      </c>
      <c r="J14" s="16" t="str" cm="1">
        <f t="array" ref="J14">IFERROR(INDEX(Table2[Category Name],MATCH(I14,$H$7:$H$44,0),0),"--")</f>
        <v>Groceries</v>
      </c>
      <c r="K14" s="16" t="str">
        <f ca="1"/>
        <v>Groceries</v>
      </c>
    </row>
    <row r="15" spans="1:11" ht="16.25" customHeight="1" x14ac:dyDescent="0.35">
      <c r="B15" s="159"/>
      <c r="C15" s="133"/>
      <c r="D15" s="134" t="s">
        <v>97</v>
      </c>
      <c r="E15" s="133" t="s">
        <v>92</v>
      </c>
      <c r="G15" s="16" t="str">
        <f>IF(COUNTA(Table2[[#This Row],[Category Name]:[Category Type]])=2,"YES","")</f>
        <v>YES</v>
      </c>
      <c r="H15" s="16">
        <f>IF(G15="","",COUNTIF($G$7:G15,"YES"))</f>
        <v>9</v>
      </c>
      <c r="I15" s="16">
        <f t="shared" si="0"/>
        <v>9</v>
      </c>
      <c r="J15" s="16" t="str" cm="1">
        <f t="array" ref="J15">IFERROR(INDEX(Table2[Category Name],MATCH(I15,$H$7:$H$44,0),0),"--")</f>
        <v>Health/Fitness</v>
      </c>
      <c r="K15" s="16" t="str">
        <f ca="1"/>
        <v>Health/Fitness</v>
      </c>
    </row>
    <row r="16" spans="1:11" ht="16.25" customHeight="1" x14ac:dyDescent="0.35">
      <c r="B16" s="159"/>
      <c r="C16" s="133"/>
      <c r="D16" s="134" t="s">
        <v>98</v>
      </c>
      <c r="E16" s="133" t="s">
        <v>92</v>
      </c>
      <c r="G16" s="16" t="str">
        <f>IF(COUNTA(Table2[[#This Row],[Category Name]:[Category Type]])=2,"YES","")</f>
        <v>YES</v>
      </c>
      <c r="H16" s="16">
        <f>IF(G16="","",COUNTIF($G$7:G16,"YES"))</f>
        <v>10</v>
      </c>
      <c r="I16" s="16">
        <f t="shared" si="0"/>
        <v>10</v>
      </c>
      <c r="J16" s="16" t="str" cm="1">
        <f t="array" ref="J16">IFERROR(INDEX(Table2[Category Name],MATCH(I16,$H$7:$H$44,0),0),"--")</f>
        <v>Home</v>
      </c>
      <c r="K16" s="16" t="str">
        <f ca="1"/>
        <v>Home</v>
      </c>
    </row>
    <row r="17" spans="2:11" ht="16.25" customHeight="1" x14ac:dyDescent="0.35">
      <c r="B17" s="159"/>
      <c r="C17" s="133"/>
      <c r="D17" s="134" t="s">
        <v>99</v>
      </c>
      <c r="E17" s="133" t="s">
        <v>92</v>
      </c>
      <c r="G17" s="16" t="str">
        <f>IF(COUNTA(Table2[[#This Row],[Category Name]:[Category Type]])=2,"YES","")</f>
        <v>YES</v>
      </c>
      <c r="H17" s="16">
        <f>IF(G17="","",COUNTIF($G$7:G17,"YES"))</f>
        <v>11</v>
      </c>
      <c r="I17" s="16">
        <f t="shared" si="0"/>
        <v>11</v>
      </c>
      <c r="J17" s="16" t="str" cm="1">
        <f t="array" ref="J17">IFERROR(INDEX(Table2[Category Name],MATCH(I17,$H$7:$H$44,0),0),"--")</f>
        <v>Misc</v>
      </c>
      <c r="K17" s="16" t="str">
        <f ca="1"/>
        <v>Misc</v>
      </c>
    </row>
    <row r="18" spans="2:11" ht="16.25" customHeight="1" x14ac:dyDescent="0.35">
      <c r="B18" s="159"/>
      <c r="C18" s="133"/>
      <c r="D18" s="134" t="s">
        <v>100</v>
      </c>
      <c r="E18" s="133" t="s">
        <v>92</v>
      </c>
      <c r="G18" s="16" t="str">
        <f>IF(COUNTA(Table2[[#This Row],[Category Name]:[Category Type]])=2,"YES","")</f>
        <v>YES</v>
      </c>
      <c r="H18" s="16">
        <f>IF(G18="","",COUNTIF($G$7:G18,"YES"))</f>
        <v>12</v>
      </c>
      <c r="I18" s="16">
        <f t="shared" si="0"/>
        <v>12</v>
      </c>
      <c r="J18" s="16" t="str" cm="1">
        <f t="array" ref="J18">IFERROR(INDEX(Table2[Category Name],MATCH(I18,$H$7:$H$44,0),0),"--")</f>
        <v>Mortgage/Rent</v>
      </c>
      <c r="K18" s="16" t="str">
        <f ca="1"/>
        <v>Mortgage/Rent</v>
      </c>
    </row>
    <row r="19" spans="2:11" ht="16.25" customHeight="1" x14ac:dyDescent="0.35">
      <c r="B19" s="159"/>
      <c r="C19" s="133"/>
      <c r="D19" s="134" t="s">
        <v>101</v>
      </c>
      <c r="E19" s="133" t="s">
        <v>92</v>
      </c>
      <c r="G19" s="16" t="str">
        <f>IF(COUNTA(Table2[[#This Row],[Category Name]:[Category Type]])=2,"YES","")</f>
        <v>YES</v>
      </c>
      <c r="H19" s="16">
        <f>IF(G19="","",COUNTIF($G$7:G19,"YES"))</f>
        <v>13</v>
      </c>
      <c r="I19" s="16">
        <f t="shared" si="0"/>
        <v>13</v>
      </c>
      <c r="J19" s="16" t="str" cm="1">
        <f t="array" ref="J19">IFERROR(INDEX(Table2[Category Name],MATCH(I19,$H$7:$H$44,0),0),"--")</f>
        <v>Payment</v>
      </c>
      <c r="K19" s="16" t="str">
        <f ca="1"/>
        <v>Payment</v>
      </c>
    </row>
    <row r="20" spans="2:11" ht="16.25" customHeight="1" x14ac:dyDescent="0.35">
      <c r="B20" s="159"/>
      <c r="C20" s="133"/>
      <c r="D20" s="134" t="s">
        <v>102</v>
      </c>
      <c r="E20" s="133" t="s">
        <v>92</v>
      </c>
      <c r="G20" s="16" t="str">
        <f>IF(COUNTA(Table2[[#This Row],[Category Name]:[Category Type]])=2,"YES","")</f>
        <v>YES</v>
      </c>
      <c r="H20" s="16">
        <f>IF(G20="","",COUNTIF($G$7:G20,"YES"))</f>
        <v>14</v>
      </c>
      <c r="I20" s="16">
        <f t="shared" si="0"/>
        <v>14</v>
      </c>
      <c r="J20" s="16" t="str" cm="1">
        <f t="array" ref="J20">IFERROR(INDEX(Table2[Category Name],MATCH(I20,$H$7:$H$44,0),0),"--")</f>
        <v>Professional Services</v>
      </c>
      <c r="K20" s="16" t="str">
        <f ca="1"/>
        <v>Professional Services</v>
      </c>
    </row>
    <row r="21" spans="2:11" ht="16.25" customHeight="1" x14ac:dyDescent="0.35">
      <c r="B21" s="159"/>
      <c r="C21" s="133"/>
      <c r="D21" s="134" t="s">
        <v>103</v>
      </c>
      <c r="E21" s="133" t="s">
        <v>92</v>
      </c>
      <c r="G21" s="16" t="str">
        <f>IF(COUNTA(Table2[[#This Row],[Category Name]:[Category Type]])=2,"YES","")</f>
        <v>YES</v>
      </c>
      <c r="H21" s="16">
        <f>IF(G21="","",COUNTIF($G$7:G21,"YES"))</f>
        <v>15</v>
      </c>
      <c r="I21" s="16">
        <f t="shared" si="0"/>
        <v>15</v>
      </c>
      <c r="J21" s="16" t="str" cm="1">
        <f t="array" ref="J21">IFERROR(INDEX(Table2[Category Name],MATCH(I21,$H$7:$H$44,0),0),"--")</f>
        <v>Restaurants/Dining</v>
      </c>
      <c r="K21" s="16" t="str">
        <f ca="1"/>
        <v>Restaurants/Dining</v>
      </c>
    </row>
    <row r="22" spans="2:11" ht="16.25" customHeight="1" x14ac:dyDescent="0.35">
      <c r="B22" s="159"/>
      <c r="C22" s="133"/>
      <c r="D22" s="134" t="s">
        <v>104</v>
      </c>
      <c r="E22" s="133" t="s">
        <v>92</v>
      </c>
      <c r="G22" s="16" t="str">
        <f>IF(COUNTA(Table2[[#This Row],[Category Name]:[Category Type]])=2,"YES","")</f>
        <v>YES</v>
      </c>
      <c r="H22" s="16">
        <f>IF(G22="","",COUNTIF($G$7:G22,"YES"))</f>
        <v>16</v>
      </c>
      <c r="I22" s="16">
        <f t="shared" si="0"/>
        <v>16</v>
      </c>
      <c r="J22" s="16" t="str" cm="1">
        <f t="array" ref="J22">IFERROR(INDEX(Table2[Category Name],MATCH(I22,$H$7:$H$44,0),0),"--")</f>
        <v>Shopping</v>
      </c>
      <c r="K22" s="16" t="str">
        <f ca="1"/>
        <v>Shopping</v>
      </c>
    </row>
    <row r="23" spans="2:11" ht="16.25" customHeight="1" x14ac:dyDescent="0.35">
      <c r="B23" s="159"/>
      <c r="C23" s="133"/>
      <c r="D23" s="134" t="s">
        <v>105</v>
      </c>
      <c r="E23" s="133" t="s">
        <v>92</v>
      </c>
      <c r="G23" s="16" t="str">
        <f>IF(COUNTA(Table2[[#This Row],[Category Name]:[Category Type]])=2,"YES","")</f>
        <v>YES</v>
      </c>
      <c r="H23" s="16">
        <f>IF(G23="","",COUNTIF($G$7:G23,"YES"))</f>
        <v>17</v>
      </c>
      <c r="I23" s="16">
        <f t="shared" si="0"/>
        <v>17</v>
      </c>
      <c r="J23" s="16" t="str" cm="1">
        <f t="array" ref="J23">IFERROR(INDEX(Table2[Category Name],MATCH(I23,$H$7:$H$44,0),0),"--")</f>
        <v>Travel</v>
      </c>
      <c r="K23" s="16" t="str">
        <f ca="1"/>
        <v>Travel</v>
      </c>
    </row>
    <row r="24" spans="2:11" ht="16.25" customHeight="1" thickBot="1" x14ac:dyDescent="0.4">
      <c r="B24" s="159"/>
      <c r="C24" s="136"/>
      <c r="D24" s="137" t="s">
        <v>106</v>
      </c>
      <c r="E24" s="136" t="s">
        <v>92</v>
      </c>
      <c r="G24" s="16" t="str">
        <f>IF(COUNTA(Table2[[#This Row],[Category Name]:[Category Type]])=2,"YES","")</f>
        <v>YES</v>
      </c>
      <c r="H24" s="16">
        <f>IF(G24="","",COUNTIF($G$7:G24,"YES"))</f>
        <v>18</v>
      </c>
      <c r="I24" s="16">
        <f t="shared" si="0"/>
        <v>18</v>
      </c>
      <c r="J24" s="16" t="str" cm="1">
        <f t="array" ref="J24">IFERROR(INDEX(Table2[Category Name],MATCH(I24,$H$7:$H$44,0),0),"--")</f>
        <v>Uncategorized</v>
      </c>
      <c r="K24" s="16" t="str">
        <f ca="1"/>
        <v>Uncategorized</v>
      </c>
    </row>
    <row r="25" spans="2:11" ht="16.25" customHeight="1" x14ac:dyDescent="0.35">
      <c r="B25" s="161" t="s">
        <v>111</v>
      </c>
      <c r="C25" s="145"/>
      <c r="D25" s="138"/>
      <c r="E25" s="139"/>
      <c r="G25" s="16" t="str">
        <f>IF(COUNTA(Table2[[#This Row],[Category Name]:[Category Type]])=2,"YES","")</f>
        <v/>
      </c>
      <c r="H25" s="16" t="str">
        <f>IF(G25="","",COUNTIF($G$7:G25,"YES"))</f>
        <v/>
      </c>
      <c r="I25" s="16" t="str">
        <f t="shared" si="0"/>
        <v>--</v>
      </c>
      <c r="J25" s="16" t="str" cm="1">
        <f t="array" ref="J25">IFERROR(INDEX(Table2[Category Name],MATCH(I25,$H$7:$H$44,0),0),"--")</f>
        <v>--</v>
      </c>
    </row>
    <row r="26" spans="2:11" ht="16.25" customHeight="1" x14ac:dyDescent="0.35">
      <c r="B26" s="162"/>
      <c r="C26" s="146"/>
      <c r="D26" s="138"/>
      <c r="E26" s="139"/>
      <c r="G26" s="16" t="str">
        <f>IF(COUNTA(Table2[[#This Row],[Category Name]:[Category Type]])=2,"YES","")</f>
        <v/>
      </c>
      <c r="H26" s="16" t="str">
        <f>IF(G26="","",COUNTIF($G$7:G26,"YES"))</f>
        <v/>
      </c>
      <c r="I26" s="16" t="str">
        <f t="shared" si="0"/>
        <v>--</v>
      </c>
      <c r="J26" s="16" t="str" cm="1">
        <f t="array" ref="J26">IFERROR(INDEX(Table2[Category Name],MATCH(I26,$H$7:$H$44,0),0),"--")</f>
        <v>--</v>
      </c>
    </row>
    <row r="27" spans="2:11" ht="16.25" customHeight="1" x14ac:dyDescent="0.35">
      <c r="B27" s="162"/>
      <c r="C27" s="146"/>
      <c r="D27" s="138"/>
      <c r="E27" s="139"/>
      <c r="G27" s="16" t="str">
        <f>IF(COUNTA(Table2[[#This Row],[Category Name]:[Category Type]])=2,"YES","")</f>
        <v/>
      </c>
      <c r="H27" s="16" t="str">
        <f>IF(G27="","",COUNTIF($G$7:G27,"YES"))</f>
        <v/>
      </c>
      <c r="I27" s="16" t="str">
        <f t="shared" si="0"/>
        <v>--</v>
      </c>
      <c r="J27" s="16" t="str" cm="1">
        <f t="array" ref="J27">IFERROR(INDEX(Table2[Category Name],MATCH(I27,$H$7:$H$44,0),0),"--")</f>
        <v>--</v>
      </c>
    </row>
    <row r="28" spans="2:11" ht="16.25" customHeight="1" x14ac:dyDescent="0.35">
      <c r="B28" s="162"/>
      <c r="C28" s="146"/>
      <c r="D28" s="138"/>
      <c r="E28" s="139"/>
      <c r="G28" s="16" t="str">
        <f>IF(COUNTA(Table2[[#This Row],[Category Name]:[Category Type]])=2,"YES","")</f>
        <v/>
      </c>
      <c r="H28" s="16" t="str">
        <f>IF(G28="","",COUNTIF($G$7:G28,"YES"))</f>
        <v/>
      </c>
      <c r="I28" s="16" t="str">
        <f t="shared" si="0"/>
        <v>--</v>
      </c>
      <c r="J28" s="16" t="str" cm="1">
        <f t="array" ref="J28">IFERROR(INDEX(Table2[Category Name],MATCH(I28,$H$7:$H$44,0),0),"--")</f>
        <v>--</v>
      </c>
    </row>
    <row r="29" spans="2:11" ht="16.25" customHeight="1" x14ac:dyDescent="0.35">
      <c r="B29" s="162"/>
      <c r="C29" s="146"/>
      <c r="D29" s="138"/>
      <c r="E29" s="139"/>
      <c r="G29" s="16" t="str">
        <f>IF(COUNTA(Table2[[#This Row],[Category Name]:[Category Type]])=2,"YES","")</f>
        <v/>
      </c>
      <c r="H29" s="16" t="str">
        <f>IF(G29="","",COUNTIF($G$7:G29,"YES"))</f>
        <v/>
      </c>
      <c r="I29" s="16" t="str">
        <f t="shared" si="0"/>
        <v>--</v>
      </c>
      <c r="J29" s="16" t="str" cm="1">
        <f t="array" ref="J29">IFERROR(INDEX(Table2[Category Name],MATCH(I29,$H$7:$H$44,0),0),"--")</f>
        <v>--</v>
      </c>
    </row>
    <row r="30" spans="2:11" ht="16.25" customHeight="1" x14ac:dyDescent="0.35">
      <c r="B30" s="162"/>
      <c r="C30" s="146"/>
      <c r="D30" s="138"/>
      <c r="E30" s="139"/>
      <c r="G30" s="16" t="str">
        <f>IF(COUNTA(Table2[[#This Row],[Category Name]:[Category Type]])=2,"YES","")</f>
        <v/>
      </c>
      <c r="H30" s="16" t="str">
        <f>IF(G30="","",COUNTIF($G$7:G30,"YES"))</f>
        <v/>
      </c>
      <c r="I30" s="16" t="str">
        <f t="shared" si="0"/>
        <v>--</v>
      </c>
      <c r="J30" s="16" t="str" cm="1">
        <f t="array" ref="J30">IFERROR(INDEX(Table2[Category Name],MATCH(I30,$H$7:$H$44,0),0),"--")</f>
        <v>--</v>
      </c>
    </row>
    <row r="31" spans="2:11" ht="16.25" customHeight="1" x14ac:dyDescent="0.35">
      <c r="B31" s="162"/>
      <c r="C31" s="146"/>
      <c r="D31" s="138"/>
      <c r="E31" s="139"/>
      <c r="G31" s="16" t="str">
        <f>IF(COUNTA(Table2[[#This Row],[Category Name]:[Category Type]])=2,"YES","")</f>
        <v/>
      </c>
      <c r="H31" s="16" t="str">
        <f>IF(G31="","",COUNTIF($G$7:G31,"YES"))</f>
        <v/>
      </c>
      <c r="I31" s="16" t="str">
        <f t="shared" si="0"/>
        <v>--</v>
      </c>
      <c r="J31" s="16" t="str" cm="1">
        <f t="array" ref="J31">IFERROR(INDEX(Table2[Category Name],MATCH(I31,$H$7:$H$44,0),0),"--")</f>
        <v>--</v>
      </c>
    </row>
    <row r="32" spans="2:11" ht="16.25" customHeight="1" x14ac:dyDescent="0.35">
      <c r="B32" s="162"/>
      <c r="C32" s="146"/>
      <c r="D32" s="138"/>
      <c r="E32" s="139"/>
      <c r="G32" s="16" t="str">
        <f>IF(COUNTA(Table2[[#This Row],[Category Name]:[Category Type]])=2,"YES","")</f>
        <v/>
      </c>
      <c r="H32" s="16" t="str">
        <f>IF(G32="","",COUNTIF($G$7:G32,"YES"))</f>
        <v/>
      </c>
      <c r="I32" s="16" t="str">
        <f t="shared" si="0"/>
        <v>--</v>
      </c>
      <c r="J32" s="16" t="str" cm="1">
        <f t="array" ref="J32">IFERROR(INDEX(Table2[Category Name],MATCH(I32,$H$7:$H$44,0),0),"--")</f>
        <v>--</v>
      </c>
    </row>
    <row r="33" spans="2:10" ht="16.25" customHeight="1" x14ac:dyDescent="0.35">
      <c r="B33" s="162"/>
      <c r="C33" s="146"/>
      <c r="D33" s="138"/>
      <c r="E33" s="139"/>
      <c r="G33" s="16" t="str">
        <f>IF(COUNTA(Table2[[#This Row],[Category Name]:[Category Type]])=2,"YES","")</f>
        <v/>
      </c>
      <c r="H33" s="16" t="str">
        <f>IF(G33="","",COUNTIF($G$7:G33,"YES"))</f>
        <v/>
      </c>
      <c r="I33" s="16" t="str">
        <f t="shared" si="0"/>
        <v>--</v>
      </c>
      <c r="J33" s="16" t="str" cm="1">
        <f t="array" ref="J33">IFERROR(INDEX(Table2[Category Name],MATCH(I33,$H$7:$H$44,0),0),"--")</f>
        <v>--</v>
      </c>
    </row>
    <row r="34" spans="2:10" ht="16.25" customHeight="1" x14ac:dyDescent="0.35">
      <c r="B34" s="162"/>
      <c r="C34" s="146"/>
      <c r="D34" s="138"/>
      <c r="E34" s="139"/>
      <c r="G34" s="16" t="str">
        <f>IF(COUNTA(Table2[[#This Row],[Category Name]:[Category Type]])=2,"YES","")</f>
        <v/>
      </c>
      <c r="H34" s="16" t="str">
        <f>IF(G34="","",COUNTIF($G$7:G34,"YES"))</f>
        <v/>
      </c>
      <c r="I34" s="16" t="str">
        <f t="shared" si="0"/>
        <v>--</v>
      </c>
      <c r="J34" s="16" t="str" cm="1">
        <f t="array" ref="J34">IFERROR(INDEX(Table2[Category Name],MATCH(I34,$H$7:$H$44,0),0),"--")</f>
        <v>--</v>
      </c>
    </row>
    <row r="35" spans="2:10" ht="16.25" customHeight="1" x14ac:dyDescent="0.35">
      <c r="B35" s="162"/>
      <c r="C35" s="146"/>
      <c r="D35" s="138"/>
      <c r="E35" s="139"/>
      <c r="G35" s="16" t="str">
        <f>IF(COUNTA(Table2[[#This Row],[Category Name]:[Category Type]])=2,"YES","")</f>
        <v/>
      </c>
      <c r="H35" s="16" t="str">
        <f>IF(G35="","",COUNTIF($G$7:G35,"YES"))</f>
        <v/>
      </c>
      <c r="I35" s="16" t="str">
        <f t="shared" si="0"/>
        <v>--</v>
      </c>
      <c r="J35" s="16" t="str" cm="1">
        <f t="array" ref="J35">IFERROR(INDEX(Table2[Category Name],MATCH(I35,$H$7:$H$44,0),0),"--")</f>
        <v>--</v>
      </c>
    </row>
    <row r="36" spans="2:10" ht="16.25" customHeight="1" x14ac:dyDescent="0.35">
      <c r="B36" s="162"/>
      <c r="C36" s="146"/>
      <c r="D36" s="138"/>
      <c r="E36" s="139"/>
      <c r="G36" s="16" t="str">
        <f>IF(COUNTA(Table2[[#This Row],[Category Name]:[Category Type]])=2,"YES","")</f>
        <v/>
      </c>
      <c r="H36" s="16" t="str">
        <f>IF(G36="","",COUNTIF($G$7:G36,"YES"))</f>
        <v/>
      </c>
      <c r="I36" s="16" t="str">
        <f t="shared" si="0"/>
        <v>--</v>
      </c>
      <c r="J36" s="16" t="str" cm="1">
        <f t="array" ref="J36">IFERROR(INDEX(Table2[Category Name],MATCH(I36,$H$7:$H$44,0),0),"--")</f>
        <v>--</v>
      </c>
    </row>
    <row r="37" spans="2:10" x14ac:dyDescent="0.35">
      <c r="B37" s="163"/>
      <c r="C37" s="147"/>
      <c r="D37" s="138"/>
      <c r="E37" s="139"/>
      <c r="G37" s="16" t="str">
        <f>IF(COUNTA(Table2[[#This Row],[Category Name]:[Category Type]])=2,"YES","")</f>
        <v/>
      </c>
      <c r="H37" s="16" t="str">
        <f>IF(G37="","",COUNTIF($G$7:G37,"YES"))</f>
        <v/>
      </c>
      <c r="I37" s="16" t="str">
        <f t="shared" si="0"/>
        <v>--</v>
      </c>
      <c r="J37" s="16" t="str" cm="1">
        <f t="array" ref="J37">IFERROR(INDEX(Table2[Category Name],MATCH(I37,$H$7:$H$44,0),0),"--")</f>
        <v>--</v>
      </c>
    </row>
    <row r="38" spans="2:10" x14ac:dyDescent="0.35">
      <c r="B38" s="163"/>
      <c r="C38" s="147"/>
      <c r="D38" s="138"/>
      <c r="E38" s="139"/>
      <c r="G38" s="16" t="str">
        <f>IF(COUNTA(Table2[[#This Row],[Category Name]:[Category Type]])=2,"YES","")</f>
        <v/>
      </c>
      <c r="H38" s="16" t="str">
        <f>IF(G38="","",COUNTIF($G$7:G38,"YES"))</f>
        <v/>
      </c>
      <c r="I38" s="16" t="str">
        <f t="shared" si="0"/>
        <v>--</v>
      </c>
      <c r="J38" s="16" t="str" cm="1">
        <f t="array" ref="J38">IFERROR(INDEX(Table2[Category Name],MATCH(I38,$H$7:$H$44,0),0),"--")</f>
        <v>--</v>
      </c>
    </row>
    <row r="39" spans="2:10" x14ac:dyDescent="0.35">
      <c r="B39" s="163"/>
      <c r="C39" s="147"/>
      <c r="D39" s="138"/>
      <c r="E39" s="139"/>
      <c r="G39" s="16" t="str">
        <f>IF(COUNTA(Table2[[#This Row],[Category Name]:[Category Type]])=2,"YES","")</f>
        <v/>
      </c>
      <c r="H39" s="16" t="str">
        <f>IF(G39="","",COUNTIF($G$7:G39,"YES"))</f>
        <v/>
      </c>
      <c r="I39" s="16" t="str">
        <f t="shared" si="0"/>
        <v>--</v>
      </c>
      <c r="J39" s="16" t="str" cm="1">
        <f t="array" ref="J39">IFERROR(INDEX(Table2[Category Name],MATCH(I39,$H$7:$H$44,0),0),"--")</f>
        <v>--</v>
      </c>
    </row>
    <row r="40" spans="2:10" x14ac:dyDescent="0.35">
      <c r="B40" s="163"/>
      <c r="C40" s="147"/>
      <c r="D40" s="138"/>
      <c r="E40" s="139"/>
      <c r="G40" s="16" t="str">
        <f>IF(COUNTA(Table2[[#This Row],[Category Name]:[Category Type]])=2,"YES","")</f>
        <v/>
      </c>
      <c r="H40" s="16" t="str">
        <f>IF(G40="","",COUNTIF($G$7:G40,"YES"))</f>
        <v/>
      </c>
      <c r="I40" s="16" t="str">
        <f t="shared" si="0"/>
        <v>--</v>
      </c>
      <c r="J40" s="16" t="str" cm="1">
        <f t="array" ref="J40">IFERROR(INDEX(Table2[Category Name],MATCH(I40,$H$7:$H$44,0),0),"--")</f>
        <v>--</v>
      </c>
    </row>
    <row r="41" spans="2:10" x14ac:dyDescent="0.35">
      <c r="B41" s="163"/>
      <c r="C41" s="147"/>
      <c r="D41" s="138"/>
      <c r="E41" s="139"/>
      <c r="G41" s="16" t="str">
        <f>IF(COUNTA(Table2[[#This Row],[Category Name]:[Category Type]])=2,"YES","")</f>
        <v/>
      </c>
      <c r="H41" s="16" t="str">
        <f>IF(G41="","",COUNTIF($G$7:G41,"YES"))</f>
        <v/>
      </c>
      <c r="I41" s="16" t="str">
        <f t="shared" si="0"/>
        <v>--</v>
      </c>
      <c r="J41" s="16" t="str" cm="1">
        <f t="array" ref="J41">IFERROR(INDEX(Table2[Category Name],MATCH(I41,$H$7:$H$44,0),0),"--")</f>
        <v>--</v>
      </c>
    </row>
    <row r="42" spans="2:10" x14ac:dyDescent="0.35">
      <c r="B42" s="163"/>
      <c r="C42" s="147"/>
      <c r="D42" s="138"/>
      <c r="E42" s="139"/>
      <c r="G42" s="16" t="str">
        <f>IF(COUNTA(Table2[[#This Row],[Category Name]:[Category Type]])=2,"YES","")</f>
        <v/>
      </c>
      <c r="H42" s="16" t="str">
        <f>IF(G42="","",COUNTIF($G$7:G42,"YES"))</f>
        <v/>
      </c>
      <c r="I42" s="16" t="str">
        <f t="shared" si="0"/>
        <v>--</v>
      </c>
      <c r="J42" s="16" t="str" cm="1">
        <f t="array" ref="J42">IFERROR(INDEX(Table2[Category Name],MATCH(I42,$H$7:$H$44,0),0),"--")</f>
        <v>--</v>
      </c>
    </row>
    <row r="43" spans="2:10" x14ac:dyDescent="0.35">
      <c r="B43" s="163"/>
      <c r="C43" s="147"/>
      <c r="D43" s="138"/>
      <c r="E43" s="139"/>
      <c r="G43" s="16" t="str">
        <f>IF(COUNTA(Table2[[#This Row],[Category Name]:[Category Type]])=2,"YES","")</f>
        <v/>
      </c>
      <c r="H43" s="16" t="str">
        <f>IF(G43="","",COUNTIF($G$7:G43,"YES"))</f>
        <v/>
      </c>
      <c r="I43" s="16" t="str">
        <f t="shared" si="0"/>
        <v>--</v>
      </c>
      <c r="J43" s="16" t="str" cm="1">
        <f t="array" ref="J43">IFERROR(INDEX(Table2[Category Name],MATCH(I43,$H$7:$H$44,0),0),"--")</f>
        <v>--</v>
      </c>
    </row>
    <row r="44" spans="2:10" x14ac:dyDescent="0.35">
      <c r="B44" s="163"/>
      <c r="C44" s="147"/>
      <c r="D44" s="138"/>
      <c r="E44" s="139"/>
      <c r="G44" s="16" t="str">
        <f>IF(COUNTA(Table2[[#This Row],[Category Name]:[Category Type]])=2,"YES","")</f>
        <v/>
      </c>
      <c r="H44" s="16" t="str">
        <f>IF(G44="","",COUNTIF($G$7:G44,"YES"))</f>
        <v/>
      </c>
      <c r="I44" s="16" t="str">
        <f t="shared" si="0"/>
        <v>--</v>
      </c>
      <c r="J44" s="16" t="str" cm="1">
        <f t="array" ref="J44">IFERROR(INDEX(Table2[Category Name],MATCH(I44,$H$7:$H$44,0),0),"--")</f>
        <v>--</v>
      </c>
    </row>
  </sheetData>
  <sheetProtection sheet="1" objects="1" scenarios="1"/>
  <mergeCells count="4">
    <mergeCell ref="B7:B24"/>
    <mergeCell ref="B2:E2"/>
    <mergeCell ref="B3:E3"/>
    <mergeCell ref="B25:B44"/>
  </mergeCells>
  <conditionalFormatting sqref="E25:E44">
    <cfRule type="expression" dxfId="7" priority="3">
      <formula>AND(ISBLANK(E25),D25&lt;&gt;"")</formula>
    </cfRule>
  </conditionalFormatting>
  <conditionalFormatting sqref="D25:D44">
    <cfRule type="expression" dxfId="6" priority="2">
      <formula>AND(ISBLANK(D25),E25&lt;&gt;"")</formula>
    </cfRule>
  </conditionalFormatting>
  <dataValidations count="2">
    <dataValidation type="list" allowBlank="1" showInputMessage="1" showErrorMessage="1" sqref="E7:E44" xr:uid="{DCAA8EF2-4B1D-BB47-9A82-B536ED30521D}">
      <formula1>"Income,Transfer,Expense"</formula1>
    </dataValidation>
    <dataValidation allowBlank="1" showInputMessage="1" showErrorMessage="1" promptTitle="Categories" prompt="Create and edit categories in starting in row 25 on column D and set the category type in column E. Make transactions glanceable across every sheet." sqref="A1" xr:uid="{3EF09FB9-9454-40CB-B2B8-E8BB0507A067}"/>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Welcome</vt:lpstr>
      <vt:lpstr>Instructions</vt:lpstr>
      <vt:lpstr>Snapshot</vt:lpstr>
      <vt:lpstr>Transactions</vt:lpstr>
      <vt:lpstr>Categories</vt:lpstr>
      <vt:lpstr>snapshot_month</vt:lpstr>
      <vt:lpstr>user_custom_categories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2020-06-12T20:59:23Z</dcterms:created>
  <dcterms:modified xsi:type="dcterms:W3CDTF">2020-08-26T14:12:57Z</dcterms:modified>
  <cp:category/>
  <cp:contentStatus/>
</cp:coreProperties>
</file>