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1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comments2.xml" ContentType="application/vnd.openxmlformats-officedocument.spreadsheetml.comments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filterPrivacy="1"/>
  <xr:revisionPtr revIDLastSave="0" documentId="13_ncr:1_{C8692FD2-2EC0-CD4E-999A-D41F49D3CAC8}" xr6:coauthVersionLast="36" xr6:coauthVersionMax="36" xr10:uidLastSave="{00000000-0000-0000-0000-000000000000}"/>
  <bookViews>
    <workbookView xWindow="0" yWindow="0" windowWidth="25600" windowHeight="16000" firstSheet="31" activeTab="40" xr2:uid="{00000000-000D-0000-FFFF-FFFF00000000}"/>
  </bookViews>
  <sheets>
    <sheet name="Обложка" sheetId="2" r:id="rId1"/>
    <sheet name="Содержание" sheetId="3" r:id="rId2"/>
    <sheet name="KPI_Слушателя" sheetId="44" r:id="rId3"/>
    <sheet name="KPI_Преподавателя" sheetId="45" r:id="rId4"/>
    <sheet name="1.1.Операторы" sheetId="1" r:id="rId5"/>
    <sheet name="1.2.Ссылки" sheetId="4" r:id="rId6"/>
    <sheet name="СтоимДня" sheetId="5" r:id="rId7"/>
    <sheet name="ДЗ_1" sheetId="6" r:id="rId8"/>
    <sheet name="2.Имена" sheetId="7" r:id="rId9"/>
    <sheet name="Имен_ячейки" sheetId="8" r:id="rId10"/>
    <sheet name="Имен_диапазоны" sheetId="9" r:id="rId11"/>
    <sheet name="ИменаVsСмешСсыл" sheetId="10" r:id="rId12"/>
    <sheet name="ДЗ_2" sheetId="13" r:id="rId13"/>
    <sheet name="3.1.Округ" sheetId="15" r:id="rId14"/>
    <sheet name="3.2.1.Счет_усл" sheetId="12" r:id="rId15"/>
    <sheet name="3.2.2.Сумм_усл" sheetId="16" r:id="rId16"/>
    <sheet name="ДЗ_3" sheetId="17" r:id="rId17"/>
    <sheet name="3.3.Ссылки_Массивы" sheetId="43" r:id="rId18"/>
    <sheet name="ВПР_Нач" sheetId="18" r:id="rId19"/>
    <sheet name="ВПР1" sheetId="19" r:id="rId20"/>
    <sheet name="ВПР2" sheetId="20" r:id="rId21"/>
    <sheet name="ВПР3_Пазлы2017" sheetId="21" r:id="rId22"/>
    <sheet name="ВПР_Пазлы2016" sheetId="22" r:id="rId23"/>
    <sheet name="ДЗ_4" sheetId="23" r:id="rId24"/>
    <sheet name="3.4.Логические" sheetId="24" r:id="rId25"/>
    <sheet name="ДЗ_5" sheetId="25" r:id="rId26"/>
    <sheet name="3.5.Текстовые" sheetId="26" r:id="rId27"/>
    <sheet name="СЦЕП" sheetId="27" r:id="rId28"/>
    <sheet name="СжПРОБ" sheetId="28" r:id="rId29"/>
    <sheet name="РЕГИСТР" sheetId="29" r:id="rId30"/>
    <sheet name="Л_П_СИМВ_ПСТР" sheetId="30" r:id="rId31"/>
    <sheet name="ТекстПоСтолбцам" sheetId="31" r:id="rId32"/>
    <sheet name="МЗ" sheetId="32" r:id="rId33"/>
    <sheet name="ДЗ_6" sheetId="39" r:id="rId34"/>
    <sheet name="3.6.Функции_даты" sheetId="33" r:id="rId35"/>
    <sheet name="СЕГОДНЯ" sheetId="34" r:id="rId36"/>
    <sheet name="РАБДЕНЬ" sheetId="35" r:id="rId37"/>
    <sheet name="ЧИСТРАБДНИ" sheetId="36" r:id="rId38"/>
    <sheet name="ДОЛЯГОДА" sheetId="37" r:id="rId39"/>
    <sheet name="ДЗ_7" sheetId="40" r:id="rId40"/>
    <sheet name="4.Ошибки" sheetId="41" r:id="rId41"/>
    <sheet name="ДЗ_8" sheetId="42" r:id="rId42"/>
  </sheets>
  <externalReferences>
    <externalReference r:id="rId43"/>
  </externalReferences>
  <definedNames>
    <definedName name="_xlnm._FilterDatabase" localSheetId="14" hidden="1">'3.2.1.Счет_усл'!$C$2:$J$56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39" i="6" l="1"/>
  <c r="E10" i="41"/>
  <c r="E11" i="41"/>
  <c r="E3" i="41"/>
  <c r="E2" i="41"/>
  <c r="E12" i="41"/>
  <c r="E13" i="41"/>
  <c r="E5" i="41"/>
  <c r="E4" i="41"/>
  <c r="W26" i="41"/>
  <c r="D11" i="42"/>
  <c r="D16" i="42"/>
  <c r="D3" i="42"/>
  <c r="E3" i="40"/>
  <c r="E4" i="40"/>
  <c r="E5" i="40"/>
  <c r="E6" i="40"/>
  <c r="E7" i="40"/>
  <c r="E8" i="40"/>
  <c r="E9" i="40"/>
  <c r="E10" i="40"/>
  <c r="E11" i="40"/>
  <c r="E12" i="40"/>
  <c r="E13" i="40"/>
  <c r="E14" i="40"/>
  <c r="E15" i="40"/>
  <c r="E16" i="40"/>
  <c r="E17" i="40"/>
  <c r="E18" i="40"/>
  <c r="E19" i="40"/>
  <c r="E20" i="40"/>
  <c r="E21" i="40"/>
  <c r="E22" i="40"/>
  <c r="E23" i="40"/>
  <c r="E24" i="40"/>
  <c r="E25" i="40"/>
  <c r="E26" i="40"/>
  <c r="E27" i="40"/>
  <c r="E28" i="40"/>
  <c r="E29" i="40"/>
  <c r="E30" i="40"/>
  <c r="E31" i="40"/>
  <c r="E32" i="40"/>
  <c r="E33" i="40"/>
  <c r="E34" i="40"/>
  <c r="E35" i="40"/>
  <c r="E2" i="40"/>
  <c r="D3" i="40"/>
  <c r="D4" i="40"/>
  <c r="D5" i="40"/>
  <c r="D6" i="40"/>
  <c r="D7" i="40"/>
  <c r="D8" i="40"/>
  <c r="D9" i="40"/>
  <c r="D10" i="40"/>
  <c r="D11" i="40"/>
  <c r="D12" i="40"/>
  <c r="D13" i="40"/>
  <c r="D14" i="40"/>
  <c r="D15" i="40"/>
  <c r="D16" i="40"/>
  <c r="D17" i="40"/>
  <c r="D18" i="40"/>
  <c r="D19" i="40"/>
  <c r="D20" i="40"/>
  <c r="D21" i="40"/>
  <c r="D22" i="40"/>
  <c r="D23" i="40"/>
  <c r="D24" i="40"/>
  <c r="D25" i="40"/>
  <c r="D26" i="40"/>
  <c r="D27" i="40"/>
  <c r="D28" i="40"/>
  <c r="D29" i="40"/>
  <c r="D30" i="40"/>
  <c r="D31" i="40"/>
  <c r="D32" i="40"/>
  <c r="D33" i="40"/>
  <c r="D34" i="40"/>
  <c r="D35" i="40"/>
  <c r="D2" i="40"/>
  <c r="E4" i="37"/>
  <c r="E5" i="37"/>
  <c r="E6" i="37"/>
  <c r="E7" i="37"/>
  <c r="E8" i="37"/>
  <c r="E9" i="37"/>
  <c r="E10" i="37"/>
  <c r="E11" i="37"/>
  <c r="E12" i="37"/>
  <c r="E13" i="37"/>
  <c r="E14" i="37"/>
  <c r="E15" i="37"/>
  <c r="E16" i="37"/>
  <c r="E17" i="37"/>
  <c r="E18" i="37"/>
  <c r="E19" i="37"/>
  <c r="E20" i="37"/>
  <c r="E21" i="37"/>
  <c r="E22" i="37"/>
  <c r="E23" i="37"/>
  <c r="E24" i="37"/>
  <c r="E25" i="37"/>
  <c r="E26" i="37"/>
  <c r="E27" i="37"/>
  <c r="E28" i="37"/>
  <c r="E29" i="37"/>
  <c r="E30" i="37"/>
  <c r="E31" i="37"/>
  <c r="E32" i="37"/>
  <c r="E33" i="37"/>
  <c r="E34" i="37"/>
  <c r="E35" i="37"/>
  <c r="E36" i="37"/>
  <c r="E37" i="37"/>
  <c r="E38" i="37"/>
  <c r="E39" i="37"/>
  <c r="E40" i="37"/>
  <c r="E41" i="37"/>
  <c r="E42" i="37"/>
  <c r="E43" i="37"/>
  <c r="E44" i="37"/>
  <c r="E45" i="37"/>
  <c r="E46" i="37"/>
  <c r="E47" i="37"/>
  <c r="E48" i="37"/>
  <c r="E49" i="37"/>
  <c r="E50" i="37"/>
  <c r="E3" i="37"/>
  <c r="F4" i="36"/>
  <c r="F5" i="36"/>
  <c r="F6" i="36"/>
  <c r="F7" i="36"/>
  <c r="F8" i="36"/>
  <c r="F9" i="36"/>
  <c r="F10" i="36"/>
  <c r="F11" i="36"/>
  <c r="F12" i="36"/>
  <c r="F13" i="36"/>
  <c r="F14" i="36"/>
  <c r="F3" i="36"/>
  <c r="E4" i="36"/>
  <c r="E5" i="36"/>
  <c r="E6" i="36"/>
  <c r="E7" i="36"/>
  <c r="E8" i="36"/>
  <c r="E9" i="36"/>
  <c r="E10" i="36"/>
  <c r="E11" i="36"/>
  <c r="E12" i="36"/>
  <c r="E13" i="36"/>
  <c r="E14" i="36"/>
  <c r="E3" i="36"/>
  <c r="D3" i="35"/>
  <c r="D4" i="35"/>
  <c r="D5" i="35"/>
  <c r="D6" i="35"/>
  <c r="D7" i="35"/>
  <c r="D8" i="35"/>
  <c r="D9" i="35"/>
  <c r="D10" i="35"/>
  <c r="D11" i="35"/>
  <c r="D2" i="35"/>
  <c r="C3" i="35"/>
  <c r="C4" i="35"/>
  <c r="C5" i="35"/>
  <c r="C6" i="35"/>
  <c r="C7" i="35"/>
  <c r="C8" i="35"/>
  <c r="C9" i="35"/>
  <c r="C10" i="35"/>
  <c r="C11" i="35"/>
  <c r="C2" i="35"/>
  <c r="C8" i="34"/>
  <c r="C6" i="34"/>
  <c r="C4" i="34"/>
  <c r="C2" i="34"/>
  <c r="E20" i="39"/>
  <c r="E21" i="39"/>
  <c r="E22" i="39"/>
  <c r="E23" i="39"/>
  <c r="E24" i="39"/>
  <c r="E25" i="39"/>
  <c r="E26" i="39"/>
  <c r="E27" i="39"/>
  <c r="E28" i="39"/>
  <c r="E29" i="39"/>
  <c r="E30" i="39"/>
  <c r="E31" i="39"/>
  <c r="E32" i="39"/>
  <c r="E33" i="39"/>
  <c r="E34" i="39"/>
  <c r="E35" i="39"/>
  <c r="E19" i="39"/>
  <c r="F3" i="39"/>
  <c r="F4" i="39"/>
  <c r="F5" i="39"/>
  <c r="F6" i="39"/>
  <c r="F7" i="39"/>
  <c r="F8" i="39"/>
  <c r="F9" i="39"/>
  <c r="F10" i="39"/>
  <c r="F11" i="39"/>
  <c r="F12" i="39"/>
  <c r="F13" i="39"/>
  <c r="F14" i="39"/>
  <c r="F15" i="39"/>
  <c r="F2" i="39"/>
  <c r="G4" i="31"/>
  <c r="G5" i="31"/>
  <c r="G6" i="31"/>
  <c r="G7" i="31"/>
  <c r="G8" i="31"/>
  <c r="G9" i="31"/>
  <c r="G10" i="31"/>
  <c r="G11" i="31"/>
  <c r="G12" i="31"/>
  <c r="G13" i="31"/>
  <c r="G14" i="31"/>
  <c r="G15" i="31"/>
  <c r="G16" i="31"/>
  <c r="G17" i="31"/>
  <c r="G18" i="31"/>
  <c r="G19" i="31"/>
  <c r="G20" i="31"/>
  <c r="G21" i="31"/>
  <c r="G22" i="31"/>
  <c r="G23" i="31"/>
  <c r="G24" i="31"/>
  <c r="G3" i="31"/>
  <c r="F3" i="30"/>
  <c r="F4" i="30"/>
  <c r="F5" i="30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2" i="30"/>
  <c r="D3" i="30"/>
  <c r="D4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2" i="30"/>
  <c r="B3" i="29"/>
  <c r="C3" i="29"/>
  <c r="D3" i="29"/>
  <c r="B4" i="29"/>
  <c r="C4" i="29"/>
  <c r="D4" i="29"/>
  <c r="B5" i="29"/>
  <c r="C5" i="29"/>
  <c r="D5" i="29"/>
  <c r="B6" i="29"/>
  <c r="C6" i="29"/>
  <c r="D6" i="29"/>
  <c r="B7" i="29"/>
  <c r="C7" i="29"/>
  <c r="D7" i="29"/>
  <c r="B8" i="29"/>
  <c r="C8" i="29"/>
  <c r="D8" i="29"/>
  <c r="B9" i="29"/>
  <c r="C9" i="29"/>
  <c r="D9" i="29"/>
  <c r="B10" i="29"/>
  <c r="C10" i="29"/>
  <c r="D10" i="29"/>
  <c r="B11" i="29"/>
  <c r="C11" i="29"/>
  <c r="D11" i="29"/>
  <c r="B12" i="29"/>
  <c r="C12" i="29"/>
  <c r="D12" i="29"/>
  <c r="B13" i="29"/>
  <c r="C13" i="29"/>
  <c r="D13" i="29"/>
  <c r="B14" i="29"/>
  <c r="C14" i="29"/>
  <c r="D14" i="29"/>
  <c r="B15" i="29"/>
  <c r="C15" i="29"/>
  <c r="D15" i="29"/>
  <c r="B16" i="29"/>
  <c r="C16" i="29"/>
  <c r="D16" i="29"/>
  <c r="B17" i="29"/>
  <c r="C17" i="29"/>
  <c r="D17" i="29"/>
  <c r="B18" i="29"/>
  <c r="C18" i="29"/>
  <c r="D18" i="29"/>
  <c r="B19" i="29"/>
  <c r="C19" i="29"/>
  <c r="D19" i="29"/>
  <c r="B20" i="29"/>
  <c r="C20" i="29"/>
  <c r="D20" i="29"/>
  <c r="B21" i="29"/>
  <c r="C21" i="29"/>
  <c r="D21" i="29"/>
  <c r="B22" i="29"/>
  <c r="C22" i="29"/>
  <c r="D22" i="29"/>
  <c r="B23" i="29"/>
  <c r="C23" i="29"/>
  <c r="D23" i="29"/>
  <c r="B24" i="29"/>
  <c r="C24" i="29"/>
  <c r="D24" i="29"/>
  <c r="D2" i="29"/>
  <c r="C2" i="29"/>
  <c r="B2" i="29"/>
  <c r="B3" i="28"/>
  <c r="B4" i="28"/>
  <c r="B5" i="28"/>
  <c r="B6" i="28"/>
  <c r="B7" i="28"/>
  <c r="B8" i="28"/>
  <c r="B9" i="28"/>
  <c r="B10" i="28"/>
  <c r="B11" i="28"/>
  <c r="B12" i="28"/>
  <c r="B13" i="28"/>
  <c r="B14" i="28"/>
  <c r="B15" i="28"/>
  <c r="B16" i="28"/>
  <c r="B17" i="28"/>
  <c r="B18" i="28"/>
  <c r="B19" i="28"/>
  <c r="B2" i="28"/>
  <c r="D5" i="27"/>
  <c r="D6" i="27"/>
  <c r="D7" i="27"/>
  <c r="D8" i="27"/>
  <c r="D9" i="27"/>
  <c r="D10" i="27"/>
  <c r="D11" i="27"/>
  <c r="D12" i="27"/>
  <c r="D13" i="27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4" i="27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3" i="25"/>
  <c r="I4" i="25"/>
  <c r="I5" i="25"/>
  <c r="I6" i="25"/>
  <c r="I7" i="25"/>
  <c r="I8" i="25"/>
  <c r="I9" i="25"/>
  <c r="I10" i="25"/>
  <c r="I11" i="25"/>
  <c r="I12" i="25"/>
  <c r="I13" i="25"/>
  <c r="I14" i="25"/>
  <c r="I15" i="25"/>
  <c r="I16" i="25"/>
  <c r="I17" i="25"/>
  <c r="I18" i="25"/>
  <c r="I19" i="25"/>
  <c r="I20" i="25"/>
  <c r="I21" i="25"/>
  <c r="I22" i="25"/>
  <c r="I23" i="25"/>
  <c r="I24" i="25"/>
  <c r="I25" i="25"/>
  <c r="I3" i="25"/>
  <c r="H4" i="25"/>
  <c r="H5" i="25"/>
  <c r="H6" i="25"/>
  <c r="H7" i="25"/>
  <c r="H8" i="25"/>
  <c r="H9" i="25"/>
  <c r="H10" i="25"/>
  <c r="H11" i="25"/>
  <c r="H12" i="25"/>
  <c r="H13" i="25"/>
  <c r="H14" i="25"/>
  <c r="H15" i="25"/>
  <c r="H16" i="25"/>
  <c r="H17" i="25"/>
  <c r="H18" i="25"/>
  <c r="H19" i="25"/>
  <c r="H20" i="25"/>
  <c r="H21" i="25"/>
  <c r="H22" i="25"/>
  <c r="H23" i="25"/>
  <c r="H24" i="25"/>
  <c r="H25" i="25"/>
  <c r="H3" i="25"/>
  <c r="G4" i="25"/>
  <c r="G5" i="25"/>
  <c r="G6" i="25"/>
  <c r="G7" i="25"/>
  <c r="G8" i="25"/>
  <c r="G9" i="25"/>
  <c r="G10" i="25"/>
  <c r="G11" i="25"/>
  <c r="G12" i="25"/>
  <c r="G13" i="25"/>
  <c r="G14" i="25"/>
  <c r="G15" i="25"/>
  <c r="G16" i="25"/>
  <c r="G17" i="25"/>
  <c r="G18" i="25"/>
  <c r="G19" i="25"/>
  <c r="G20" i="25"/>
  <c r="G21" i="25"/>
  <c r="G22" i="25"/>
  <c r="G23" i="25"/>
  <c r="G24" i="25"/>
  <c r="G25" i="25"/>
  <c r="G3" i="25"/>
  <c r="U13" i="24"/>
  <c r="U14" i="24"/>
  <c r="U15" i="24"/>
  <c r="U16" i="24"/>
  <c r="U17" i="24"/>
  <c r="U18" i="24"/>
  <c r="U19" i="24"/>
  <c r="U20" i="24"/>
  <c r="U21" i="24"/>
  <c r="U12" i="24"/>
  <c r="N13" i="24"/>
  <c r="N14" i="24"/>
  <c r="N15" i="24"/>
  <c r="N16" i="24"/>
  <c r="N17" i="24"/>
  <c r="N18" i="24"/>
  <c r="N19" i="24"/>
  <c r="N20" i="24"/>
  <c r="N21" i="24"/>
  <c r="N12" i="24"/>
  <c r="G13" i="24"/>
  <c r="G14" i="24"/>
  <c r="G15" i="24"/>
  <c r="G16" i="24"/>
  <c r="G17" i="24"/>
  <c r="G18" i="24"/>
  <c r="G19" i="24"/>
  <c r="G20" i="24"/>
  <c r="G21" i="24"/>
  <c r="G12" i="24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29" i="23"/>
  <c r="E4" i="23"/>
  <c r="E5" i="23"/>
  <c r="E6" i="23"/>
  <c r="E7" i="23"/>
  <c r="E8" i="23"/>
  <c r="E9" i="23"/>
  <c r="E10" i="23"/>
  <c r="E11" i="23"/>
  <c r="E12" i="23"/>
  <c r="E13" i="23"/>
  <c r="E14" i="23"/>
  <c r="E15" i="23"/>
  <c r="E16" i="23"/>
  <c r="E17" i="23"/>
  <c r="E18" i="23"/>
  <c r="E19" i="23"/>
  <c r="E20" i="23"/>
  <c r="E21" i="23"/>
  <c r="E22" i="23"/>
  <c r="E23" i="23"/>
  <c r="E24" i="23"/>
  <c r="E25" i="23"/>
  <c r="E3" i="23"/>
  <c r="D5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D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4" i="21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D5" i="19"/>
  <c r="D6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4" i="19"/>
  <c r="C3" i="15"/>
  <c r="C4" i="15"/>
  <c r="C5" i="15"/>
  <c r="C6" i="15"/>
  <c r="C7" i="15"/>
  <c r="C8" i="15"/>
  <c r="C9" i="15"/>
  <c r="C10" i="15"/>
  <c r="C2" i="15"/>
  <c r="D3" i="15"/>
  <c r="D4" i="15"/>
  <c r="D5" i="15"/>
  <c r="D6" i="15"/>
  <c r="D7" i="15"/>
  <c r="D8" i="15"/>
  <c r="D9" i="15"/>
  <c r="D10" i="15"/>
  <c r="D2" i="15"/>
  <c r="B3" i="15"/>
  <c r="B4" i="15"/>
  <c r="B5" i="15"/>
  <c r="B6" i="15"/>
  <c r="B7" i="15"/>
  <c r="B8" i="15"/>
  <c r="B9" i="15"/>
  <c r="B10" i="15"/>
  <c r="B2" i="15"/>
  <c r="D7" i="18"/>
  <c r="D8" i="18"/>
  <c r="D4" i="18"/>
  <c r="M19" i="17"/>
  <c r="M18" i="17"/>
  <c r="M13" i="17"/>
  <c r="M14" i="17"/>
  <c r="M9" i="17"/>
  <c r="M8" i="17"/>
  <c r="M5" i="17"/>
  <c r="M4" i="17"/>
  <c r="I16" i="16"/>
  <c r="I11" i="16"/>
  <c r="I12" i="16"/>
  <c r="I13" i="16"/>
  <c r="I14" i="16"/>
  <c r="I10" i="16"/>
  <c r="I7" i="16"/>
  <c r="I5" i="16"/>
  <c r="I3" i="16"/>
  <c r="N23" i="12"/>
  <c r="N24" i="12"/>
  <c r="N25" i="12"/>
  <c r="N26" i="12"/>
  <c r="N27" i="12"/>
  <c r="N28" i="12"/>
  <c r="N29" i="12"/>
  <c r="N30" i="12"/>
  <c r="N22" i="12"/>
  <c r="N34" i="12"/>
  <c r="N33" i="12"/>
  <c r="N19" i="12"/>
  <c r="N18" i="12"/>
  <c r="N15" i="12"/>
  <c r="N11" i="12"/>
  <c r="N12" i="12"/>
  <c r="N13" i="12"/>
  <c r="N10" i="12"/>
  <c r="N7" i="12"/>
  <c r="N6" i="12"/>
  <c r="N3" i="12"/>
  <c r="G3" i="13"/>
  <c r="G4" i="13"/>
  <c r="G5" i="13"/>
  <c r="G6" i="13"/>
  <c r="H6" i="13" s="1"/>
  <c r="I6" i="13" s="1"/>
  <c r="J6" i="13" s="1"/>
  <c r="G7" i="13"/>
  <c r="G8" i="13"/>
  <c r="G9" i="13"/>
  <c r="G10" i="13"/>
  <c r="H10" i="13" s="1"/>
  <c r="I10" i="13" s="1"/>
  <c r="J10" i="13" s="1"/>
  <c r="G11" i="13"/>
  <c r="G12" i="13"/>
  <c r="G13" i="13"/>
  <c r="G14" i="13"/>
  <c r="H14" i="13" s="1"/>
  <c r="I14" i="13" s="1"/>
  <c r="J14" i="13" s="1"/>
  <c r="G15" i="13"/>
  <c r="G16" i="13"/>
  <c r="G17" i="13"/>
  <c r="G18" i="13"/>
  <c r="H18" i="13" s="1"/>
  <c r="I18" i="13" s="1"/>
  <c r="J18" i="13" s="1"/>
  <c r="G19" i="13"/>
  <c r="G20" i="13"/>
  <c r="G21" i="13"/>
  <c r="G22" i="13"/>
  <c r="H22" i="13" s="1"/>
  <c r="I22" i="13" s="1"/>
  <c r="J22" i="13" s="1"/>
  <c r="G23" i="13"/>
  <c r="G24" i="13"/>
  <c r="G25" i="13"/>
  <c r="G26" i="13"/>
  <c r="H26" i="13" s="1"/>
  <c r="I26" i="13" s="1"/>
  <c r="J26" i="13" s="1"/>
  <c r="G27" i="13"/>
  <c r="G28" i="13"/>
  <c r="G29" i="13"/>
  <c r="G30" i="13"/>
  <c r="H30" i="13" s="1"/>
  <c r="I30" i="13" s="1"/>
  <c r="J30" i="13" s="1"/>
  <c r="G31" i="13"/>
  <c r="G2" i="13"/>
  <c r="F2" i="13"/>
  <c r="I17" i="13"/>
  <c r="J17" i="13" s="1"/>
  <c r="H3" i="13"/>
  <c r="I3" i="13" s="1"/>
  <c r="J3" i="13" s="1"/>
  <c r="H4" i="13"/>
  <c r="I4" i="13" s="1"/>
  <c r="J4" i="13" s="1"/>
  <c r="H5" i="13"/>
  <c r="I5" i="13" s="1"/>
  <c r="J5" i="13" s="1"/>
  <c r="H7" i="13"/>
  <c r="I7" i="13" s="1"/>
  <c r="J7" i="13" s="1"/>
  <c r="H8" i="13"/>
  <c r="I8" i="13" s="1"/>
  <c r="J8" i="13" s="1"/>
  <c r="H9" i="13"/>
  <c r="I9" i="13" s="1"/>
  <c r="J9" i="13" s="1"/>
  <c r="H11" i="13"/>
  <c r="I11" i="13" s="1"/>
  <c r="J11" i="13" s="1"/>
  <c r="H12" i="13"/>
  <c r="I12" i="13" s="1"/>
  <c r="J12" i="13" s="1"/>
  <c r="H13" i="13"/>
  <c r="I13" i="13" s="1"/>
  <c r="J13" i="13" s="1"/>
  <c r="H15" i="13"/>
  <c r="I15" i="13" s="1"/>
  <c r="J15" i="13" s="1"/>
  <c r="H16" i="13"/>
  <c r="I16" i="13" s="1"/>
  <c r="J16" i="13" s="1"/>
  <c r="H17" i="13"/>
  <c r="H19" i="13"/>
  <c r="I19" i="13" s="1"/>
  <c r="J19" i="13" s="1"/>
  <c r="H20" i="13"/>
  <c r="I20" i="13" s="1"/>
  <c r="J20" i="13" s="1"/>
  <c r="H21" i="13"/>
  <c r="I21" i="13" s="1"/>
  <c r="J21" i="13" s="1"/>
  <c r="H23" i="13"/>
  <c r="I23" i="13" s="1"/>
  <c r="J23" i="13" s="1"/>
  <c r="H24" i="13"/>
  <c r="I24" i="13" s="1"/>
  <c r="J24" i="13" s="1"/>
  <c r="H25" i="13"/>
  <c r="I25" i="13" s="1"/>
  <c r="J25" i="13" s="1"/>
  <c r="H27" i="13"/>
  <c r="I27" i="13" s="1"/>
  <c r="J27" i="13" s="1"/>
  <c r="H28" i="13"/>
  <c r="I28" i="13" s="1"/>
  <c r="J28" i="13" s="1"/>
  <c r="H29" i="13"/>
  <c r="I29" i="13" s="1"/>
  <c r="J29" i="13" s="1"/>
  <c r="H31" i="13"/>
  <c r="I31" i="13" s="1"/>
  <c r="J31" i="13" s="1"/>
  <c r="H2" i="13"/>
  <c r="I2" i="13" s="1"/>
  <c r="J2" i="13" s="1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D8" i="10"/>
  <c r="E8" i="10"/>
  <c r="F8" i="10"/>
  <c r="G8" i="10"/>
  <c r="H8" i="10"/>
  <c r="I8" i="10"/>
  <c r="J8" i="10"/>
  <c r="K8" i="10"/>
  <c r="L8" i="10"/>
  <c r="D9" i="10"/>
  <c r="E9" i="10"/>
  <c r="F9" i="10"/>
  <c r="G9" i="10"/>
  <c r="H9" i="10"/>
  <c r="I9" i="10"/>
  <c r="J9" i="10"/>
  <c r="K9" i="10"/>
  <c r="L9" i="10"/>
  <c r="D10" i="10"/>
  <c r="E10" i="10"/>
  <c r="F10" i="10"/>
  <c r="G10" i="10"/>
  <c r="H10" i="10"/>
  <c r="I10" i="10"/>
  <c r="J10" i="10"/>
  <c r="K10" i="10"/>
  <c r="L10" i="10"/>
  <c r="D11" i="10"/>
  <c r="E11" i="10"/>
  <c r="F11" i="10"/>
  <c r="G11" i="10"/>
  <c r="H11" i="10"/>
  <c r="I11" i="10"/>
  <c r="J11" i="10"/>
  <c r="K11" i="10"/>
  <c r="L11" i="10"/>
  <c r="D12" i="10"/>
  <c r="E12" i="10"/>
  <c r="F12" i="10"/>
  <c r="G12" i="10"/>
  <c r="H12" i="10"/>
  <c r="I12" i="10"/>
  <c r="J12" i="10"/>
  <c r="K12" i="10"/>
  <c r="L12" i="10"/>
  <c r="D13" i="10"/>
  <c r="E13" i="10"/>
  <c r="F13" i="10"/>
  <c r="G13" i="10"/>
  <c r="H13" i="10"/>
  <c r="I13" i="10"/>
  <c r="J13" i="10"/>
  <c r="K13" i="10"/>
  <c r="L13" i="10"/>
  <c r="D14" i="10"/>
  <c r="E14" i="10"/>
  <c r="F14" i="10"/>
  <c r="G14" i="10"/>
  <c r="H14" i="10"/>
  <c r="I14" i="10"/>
  <c r="J14" i="10"/>
  <c r="K14" i="10"/>
  <c r="L14" i="10"/>
  <c r="D15" i="10"/>
  <c r="E15" i="10"/>
  <c r="F15" i="10"/>
  <c r="G15" i="10"/>
  <c r="H15" i="10"/>
  <c r="I15" i="10"/>
  <c r="J15" i="10"/>
  <c r="K15" i="10"/>
  <c r="L15" i="10"/>
  <c r="D16" i="10"/>
  <c r="E16" i="10"/>
  <c r="F16" i="10"/>
  <c r="G16" i="10"/>
  <c r="H16" i="10"/>
  <c r="I16" i="10"/>
  <c r="J16" i="10"/>
  <c r="K16" i="10"/>
  <c r="L16" i="10"/>
  <c r="D17" i="10"/>
  <c r="E17" i="10"/>
  <c r="F17" i="10"/>
  <c r="G17" i="10"/>
  <c r="H17" i="10"/>
  <c r="I17" i="10"/>
  <c r="J17" i="10"/>
  <c r="K17" i="10"/>
  <c r="L17" i="10"/>
  <c r="C9" i="10"/>
  <c r="C10" i="10"/>
  <c r="C11" i="10"/>
  <c r="C12" i="10"/>
  <c r="C13" i="10"/>
  <c r="C14" i="10"/>
  <c r="C15" i="10"/>
  <c r="C16" i="10"/>
  <c r="C17" i="10"/>
  <c r="C8" i="10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4" i="9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2" i="8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2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2" i="8"/>
  <c r="E36" i="6"/>
  <c r="F36" i="6"/>
  <c r="G36" i="6"/>
  <c r="H36" i="6"/>
  <c r="I36" i="6"/>
  <c r="J36" i="6"/>
  <c r="K36" i="6"/>
  <c r="L36" i="6"/>
  <c r="M36" i="6"/>
  <c r="E37" i="6"/>
  <c r="F37" i="6"/>
  <c r="G37" i="6"/>
  <c r="H37" i="6"/>
  <c r="I37" i="6"/>
  <c r="J37" i="6"/>
  <c r="K37" i="6"/>
  <c r="L37" i="6"/>
  <c r="M37" i="6"/>
  <c r="E38" i="6"/>
  <c r="F38" i="6"/>
  <c r="G38" i="6"/>
  <c r="H38" i="6"/>
  <c r="I38" i="6"/>
  <c r="J38" i="6"/>
  <c r="K38" i="6"/>
  <c r="L38" i="6"/>
  <c r="M38" i="6"/>
  <c r="E39" i="6"/>
  <c r="F39" i="6"/>
  <c r="G39" i="6"/>
  <c r="H39" i="6"/>
  <c r="I39" i="6"/>
  <c r="J39" i="6"/>
  <c r="K39" i="6"/>
  <c r="L39" i="6"/>
  <c r="E40" i="6"/>
  <c r="F40" i="6"/>
  <c r="G40" i="6"/>
  <c r="H40" i="6"/>
  <c r="I40" i="6"/>
  <c r="J40" i="6"/>
  <c r="K40" i="6"/>
  <c r="L40" i="6"/>
  <c r="M40" i="6"/>
  <c r="E41" i="6"/>
  <c r="F41" i="6"/>
  <c r="G41" i="6"/>
  <c r="H41" i="6"/>
  <c r="I41" i="6"/>
  <c r="J41" i="6"/>
  <c r="K41" i="6"/>
  <c r="L41" i="6"/>
  <c r="M41" i="6"/>
  <c r="E42" i="6"/>
  <c r="F42" i="6"/>
  <c r="G42" i="6"/>
  <c r="H42" i="6"/>
  <c r="I42" i="6"/>
  <c r="J42" i="6"/>
  <c r="K42" i="6"/>
  <c r="L42" i="6"/>
  <c r="M42" i="6"/>
  <c r="E43" i="6"/>
  <c r="F43" i="6"/>
  <c r="G43" i="6"/>
  <c r="H43" i="6"/>
  <c r="I43" i="6"/>
  <c r="J43" i="6"/>
  <c r="K43" i="6"/>
  <c r="L43" i="6"/>
  <c r="M43" i="6"/>
  <c r="E44" i="6"/>
  <c r="F44" i="6"/>
  <c r="G44" i="6"/>
  <c r="H44" i="6"/>
  <c r="I44" i="6"/>
  <c r="J44" i="6"/>
  <c r="K44" i="6"/>
  <c r="L44" i="6"/>
  <c r="M44" i="6"/>
  <c r="E45" i="6"/>
  <c r="F45" i="6"/>
  <c r="G45" i="6"/>
  <c r="H45" i="6"/>
  <c r="I45" i="6"/>
  <c r="J45" i="6"/>
  <c r="K45" i="6"/>
  <c r="L45" i="6"/>
  <c r="M45" i="6"/>
  <c r="D37" i="6"/>
  <c r="D38" i="6"/>
  <c r="D39" i="6"/>
  <c r="D40" i="6"/>
  <c r="D41" i="6"/>
  <c r="D42" i="6"/>
  <c r="D43" i="6"/>
  <c r="D44" i="6"/>
  <c r="D45" i="6"/>
  <c r="D36" i="6"/>
  <c r="D21" i="6"/>
  <c r="D22" i="6"/>
  <c r="D23" i="6"/>
  <c r="D24" i="6"/>
  <c r="D25" i="6"/>
  <c r="D26" i="6"/>
  <c r="D27" i="6"/>
  <c r="D28" i="6"/>
  <c r="D29" i="6"/>
  <c r="D20" i="6"/>
  <c r="E14" i="6"/>
  <c r="F14" i="6"/>
  <c r="G14" i="6"/>
  <c r="H14" i="6"/>
  <c r="I14" i="6"/>
  <c r="J14" i="6"/>
  <c r="K14" i="6"/>
  <c r="L14" i="6"/>
  <c r="M14" i="6"/>
  <c r="D14" i="6"/>
  <c r="D6" i="6"/>
  <c r="G26" i="4"/>
  <c r="H26" i="4"/>
  <c r="I26" i="4"/>
  <c r="G27" i="4"/>
  <c r="H27" i="4"/>
  <c r="I27" i="4"/>
  <c r="G28" i="4"/>
  <c r="H28" i="4"/>
  <c r="I28" i="4"/>
  <c r="G29" i="4"/>
  <c r="H29" i="4"/>
  <c r="I29" i="4"/>
  <c r="G30" i="4"/>
  <c r="H30" i="4"/>
  <c r="I30" i="4"/>
  <c r="G31" i="4"/>
  <c r="H31" i="4"/>
  <c r="I31" i="4"/>
  <c r="G32" i="4"/>
  <c r="H32" i="4"/>
  <c r="I32" i="4"/>
  <c r="G33" i="4"/>
  <c r="H33" i="4"/>
  <c r="I33" i="4"/>
  <c r="G34" i="4"/>
  <c r="H34" i="4"/>
  <c r="I34" i="4"/>
  <c r="G35" i="4"/>
  <c r="H35" i="4"/>
  <c r="I35" i="4"/>
  <c r="G36" i="4"/>
  <c r="H36" i="4"/>
  <c r="I36" i="4"/>
  <c r="H25" i="4"/>
  <c r="I25" i="4"/>
  <c r="G25" i="4"/>
  <c r="F26" i="4"/>
  <c r="F27" i="4"/>
  <c r="F28" i="4"/>
  <c r="F29" i="4"/>
  <c r="F30" i="4"/>
  <c r="F31" i="4"/>
  <c r="F32" i="4"/>
  <c r="F33" i="4"/>
  <c r="F34" i="4"/>
  <c r="F35" i="4"/>
  <c r="F36" i="4"/>
  <c r="F25" i="4"/>
  <c r="F15" i="4"/>
  <c r="F16" i="4"/>
  <c r="F17" i="4"/>
  <c r="F18" i="4"/>
  <c r="F14" i="4"/>
  <c r="E26" i="4"/>
  <c r="E27" i="4"/>
  <c r="E28" i="4"/>
  <c r="E29" i="4"/>
  <c r="E30" i="4"/>
  <c r="E31" i="4"/>
  <c r="E32" i="4"/>
  <c r="E33" i="4"/>
  <c r="E34" i="4"/>
  <c r="E35" i="4"/>
  <c r="E36" i="4"/>
  <c r="E25" i="4"/>
  <c r="E15" i="4"/>
  <c r="E16" i="4"/>
  <c r="E17" i="4"/>
  <c r="E18" i="4"/>
  <c r="E14" i="4"/>
  <c r="F5" i="4"/>
  <c r="F6" i="4"/>
  <c r="F7" i="4"/>
  <c r="F8" i="4"/>
  <c r="F4" i="4"/>
  <c r="L18" i="1"/>
  <c r="L19" i="1"/>
  <c r="L20" i="1"/>
  <c r="L21" i="1"/>
  <c r="L22" i="1"/>
  <c r="L23" i="1"/>
  <c r="L24" i="1"/>
  <c r="L17" i="1"/>
  <c r="K18" i="1"/>
  <c r="K19" i="1"/>
  <c r="K20" i="1"/>
  <c r="K21" i="1"/>
  <c r="K22" i="1"/>
  <c r="K23" i="1"/>
  <c r="K24" i="1"/>
  <c r="K17" i="1"/>
  <c r="J18" i="1"/>
  <c r="J19" i="1"/>
  <c r="J20" i="1"/>
  <c r="J21" i="1"/>
  <c r="J22" i="1"/>
  <c r="J23" i="1"/>
  <c r="J24" i="1"/>
  <c r="J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17" i="1"/>
  <c r="D4" i="34" l="1"/>
  <c r="H4" i="34" s="1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3" i="37"/>
  <c r="I4" i="37" l="1" a="1"/>
  <c r="I4" i="37" s="1"/>
  <c r="J19" i="32" a="1"/>
  <c r="J19" i="32" s="1"/>
  <c r="J21" i="39" l="1" a="1"/>
  <c r="J21" i="39" s="1"/>
  <c r="K21" i="16" a="1"/>
  <c r="K21" i="16" s="1"/>
  <c r="J22" i="39" a="1"/>
  <c r="J22" i="39" s="1"/>
  <c r="H11" i="37" l="1"/>
  <c r="O13" i="24"/>
  <c r="O14" i="24"/>
  <c r="O15" i="24"/>
  <c r="O16" i="24"/>
  <c r="O17" i="24"/>
  <c r="O18" i="24"/>
  <c r="O19" i="24"/>
  <c r="O20" i="24"/>
  <c r="O21" i="24"/>
  <c r="O12" i="24"/>
  <c r="E18" i="18" a="1"/>
  <c r="E18" i="18" s="1"/>
  <c r="H3" i="15"/>
  <c r="H4" i="15"/>
  <c r="L5" i="4" l="1" a="1"/>
  <c r="L5" i="4" s="1"/>
  <c r="C19" i="45" l="1"/>
  <c r="C11" i="45"/>
  <c r="C4" i="45"/>
  <c r="F19" i="45"/>
  <c r="I19" i="45" s="1"/>
  <c r="F11" i="45"/>
  <c r="G11" i="45" s="1"/>
  <c r="F4" i="45"/>
  <c r="H4" i="45" s="1"/>
  <c r="G19" i="45" l="1"/>
  <c r="H19" i="45"/>
  <c r="H11" i="45"/>
  <c r="I11" i="45"/>
  <c r="C27" i="45"/>
  <c r="J6" i="45"/>
  <c r="M6" i="45" s="1"/>
  <c r="I4" i="45"/>
  <c r="G4" i="45"/>
  <c r="K6" i="45" l="1"/>
  <c r="L6" i="45"/>
  <c r="M4" i="1" l="1" a="1"/>
  <c r="M4" i="1" s="1"/>
  <c r="M3" i="1" a="1"/>
  <c r="M3" i="1" s="1"/>
  <c r="L4" i="4" a="1"/>
  <c r="L4" i="4" s="1"/>
  <c r="L3" i="4" a="1"/>
  <c r="L3" i="4" s="1"/>
  <c r="K21" i="6" a="1"/>
  <c r="K21" i="6" s="1"/>
  <c r="K20" i="6" a="1"/>
  <c r="K20" i="6" s="1"/>
  <c r="K19" i="6" a="1"/>
  <c r="K19" i="6" s="1"/>
  <c r="K18" i="6" a="1"/>
  <c r="K18" i="6" s="1"/>
  <c r="Q3" i="10" a="1"/>
  <c r="Q3" i="10" s="1"/>
  <c r="J18" i="15" a="1"/>
  <c r="J18" i="15" s="1"/>
  <c r="S3" i="12" a="1"/>
  <c r="S3" i="12" s="1"/>
  <c r="O24" i="17" a="1"/>
  <c r="O24" i="17" s="1"/>
  <c r="N8" i="44" s="1"/>
  <c r="M4" i="23" a="1"/>
  <c r="M4" i="23" s="1"/>
  <c r="M3" i="23" a="1"/>
  <c r="M3" i="23" s="1"/>
  <c r="Z7" i="24" a="1"/>
  <c r="Z7" i="24" s="1"/>
  <c r="Z6" i="24" a="1"/>
  <c r="Z6" i="24" s="1"/>
  <c r="Z5" i="24" a="1"/>
  <c r="Z5" i="24" s="1"/>
  <c r="H3" i="27" a="1"/>
  <c r="H3" i="27" s="1"/>
  <c r="J3" i="28" a="1"/>
  <c r="J3" i="28" s="1"/>
  <c r="D28" i="29" a="1"/>
  <c r="D28" i="29" s="1"/>
  <c r="K3" i="30" a="1"/>
  <c r="K3" i="30" s="1"/>
  <c r="M4" i="31" a="1"/>
  <c r="M4" i="31" s="1"/>
  <c r="M3" i="31" a="1"/>
  <c r="M3" i="31" s="1"/>
  <c r="C16" i="35" a="1"/>
  <c r="C16" i="35" s="1"/>
  <c r="C15" i="35" a="1"/>
  <c r="C15" i="35" s="1"/>
  <c r="D19" i="36" a="1"/>
  <c r="D19" i="36" s="1"/>
  <c r="D18" i="36" a="1"/>
  <c r="D18" i="36" s="1"/>
  <c r="J13" i="40" a="1"/>
  <c r="J13" i="40" s="1"/>
  <c r="J12" i="40" a="1"/>
  <c r="J12" i="40" s="1"/>
  <c r="K5" i="44"/>
  <c r="F18" i="35" l="1"/>
  <c r="E21" i="36"/>
  <c r="O6" i="1"/>
  <c r="N11" i="44"/>
  <c r="N5" i="23" a="1"/>
  <c r="N5" i="23" s="1"/>
  <c r="O6" i="31"/>
  <c r="H27" i="26" s="1"/>
  <c r="M22" i="6" a="1"/>
  <c r="M22" i="6" s="1"/>
  <c r="N7" i="4"/>
  <c r="AB9" i="24"/>
  <c r="N6" i="44"/>
  <c r="N12" i="44"/>
  <c r="N9" i="44"/>
  <c r="K16" i="44" s="1"/>
  <c r="M9" i="25"/>
  <c r="O4" i="25" s="1"/>
  <c r="C5" i="44"/>
  <c r="M15" i="13" l="1"/>
  <c r="N20" i="13" s="1" a="1"/>
  <c r="N20" i="13" s="1"/>
  <c r="N7" i="44" s="1"/>
  <c r="K22" i="44"/>
  <c r="P11" i="44"/>
  <c r="P6" i="44"/>
  <c r="K7" i="44"/>
  <c r="P8" i="44"/>
  <c r="K13" i="44"/>
  <c r="K25" i="44"/>
  <c r="P12" i="44"/>
  <c r="P9" i="44"/>
  <c r="F6" i="44" a="1"/>
  <c r="P7" i="44" l="1"/>
  <c r="K10" i="44"/>
  <c r="F11" i="44" a="1"/>
  <c r="F10" i="44" a="1"/>
  <c r="F10" i="44" s="1"/>
  <c r="H10" i="44" s="1"/>
  <c r="F8" i="44" a="1"/>
  <c r="F8" i="44" s="1"/>
  <c r="H8" i="44" s="1"/>
  <c r="C13" i="44" l="1"/>
  <c r="C19" i="44"/>
  <c r="F11" i="44"/>
  <c r="H11" i="44" l="1"/>
  <c r="C22" i="44"/>
  <c r="D8" i="34" l="1"/>
  <c r="H5" i="34" s="1"/>
  <c r="D6" i="34"/>
  <c r="D2" i="34"/>
  <c r="H3" i="34" s="1"/>
  <c r="J7" i="34" l="1"/>
  <c r="G18" i="33" s="1"/>
  <c r="F12" i="44" a="1"/>
  <c r="F12" i="44" s="1"/>
  <c r="H3" i="21"/>
  <c r="M5" i="21" s="1"/>
  <c r="D7" i="42"/>
  <c r="N4" i="42" s="1" a="1"/>
  <c r="N4" i="42" s="1"/>
  <c r="N13" i="44" s="1"/>
  <c r="E14" i="41"/>
  <c r="C32" i="41" a="1"/>
  <c r="C32" i="41" s="1"/>
  <c r="F13" i="44" s="1"/>
  <c r="B18" i="41"/>
  <c r="Q29" i="41"/>
  <c r="P29" i="41"/>
  <c r="O29" i="41"/>
  <c r="N29" i="41"/>
  <c r="M29" i="41"/>
  <c r="L29" i="41"/>
  <c r="K29" i="41"/>
  <c r="J29" i="41"/>
  <c r="I29" i="41"/>
  <c r="H29" i="41"/>
  <c r="Q28" i="41"/>
  <c r="P28" i="41"/>
  <c r="O28" i="41"/>
  <c r="N28" i="41"/>
  <c r="M28" i="41"/>
  <c r="L28" i="41"/>
  <c r="K28" i="41"/>
  <c r="J28" i="41"/>
  <c r="I28" i="41"/>
  <c r="H28" i="41"/>
  <c r="Q27" i="41"/>
  <c r="P27" i="41"/>
  <c r="O27" i="41"/>
  <c r="N27" i="41"/>
  <c r="M27" i="41"/>
  <c r="L27" i="41"/>
  <c r="K27" i="41"/>
  <c r="J27" i="41"/>
  <c r="I27" i="41"/>
  <c r="H27" i="41"/>
  <c r="B27" i="41"/>
  <c r="Q26" i="41"/>
  <c r="P26" i="41"/>
  <c r="O26" i="41"/>
  <c r="N26" i="41"/>
  <c r="M26" i="41"/>
  <c r="L26" i="41"/>
  <c r="K26" i="41"/>
  <c r="J26" i="41"/>
  <c r="I26" i="41"/>
  <c r="H26" i="41"/>
  <c r="B26" i="41"/>
  <c r="Q25" i="41"/>
  <c r="P25" i="41"/>
  <c r="O25" i="41"/>
  <c r="N25" i="41"/>
  <c r="M25" i="41"/>
  <c r="L25" i="41"/>
  <c r="K25" i="41"/>
  <c r="J25" i="41"/>
  <c r="I25" i="41"/>
  <c r="H25" i="41"/>
  <c r="B25" i="41"/>
  <c r="Q24" i="41"/>
  <c r="P24" i="41"/>
  <c r="O24" i="41"/>
  <c r="N24" i="41"/>
  <c r="M24" i="41"/>
  <c r="L24" i="41"/>
  <c r="K24" i="41"/>
  <c r="J24" i="41"/>
  <c r="I24" i="41"/>
  <c r="H24" i="41"/>
  <c r="B24" i="41"/>
  <c r="Q23" i="41"/>
  <c r="P23" i="41"/>
  <c r="O23" i="41"/>
  <c r="N23" i="41"/>
  <c r="M23" i="41"/>
  <c r="L23" i="41"/>
  <c r="K23" i="41"/>
  <c r="J23" i="41"/>
  <c r="I23" i="41"/>
  <c r="H23" i="41"/>
  <c r="B23" i="41"/>
  <c r="Y22" i="41"/>
  <c r="X22" i="41"/>
  <c r="W22" i="41"/>
  <c r="V22" i="41"/>
  <c r="U22" i="41"/>
  <c r="Q22" i="41"/>
  <c r="P22" i="41"/>
  <c r="O22" i="41"/>
  <c r="N22" i="41"/>
  <c r="M22" i="41"/>
  <c r="L22" i="41"/>
  <c r="K22" i="41"/>
  <c r="J22" i="41"/>
  <c r="I22" i="41"/>
  <c r="H22" i="41"/>
  <c r="B22" i="41"/>
  <c r="Y21" i="41"/>
  <c r="U21" i="41"/>
  <c r="Q21" i="41"/>
  <c r="P21" i="41"/>
  <c r="O21" i="41"/>
  <c r="N21" i="41"/>
  <c r="M21" i="41"/>
  <c r="L21" i="41"/>
  <c r="K21" i="41"/>
  <c r="J21" i="41"/>
  <c r="I21" i="41"/>
  <c r="H21" i="41"/>
  <c r="B21" i="41"/>
  <c r="Y20" i="41"/>
  <c r="U20" i="41"/>
  <c r="Q20" i="41"/>
  <c r="P20" i="41"/>
  <c r="O20" i="41"/>
  <c r="N20" i="41"/>
  <c r="M20" i="41"/>
  <c r="L20" i="41"/>
  <c r="K20" i="41"/>
  <c r="J20" i="41"/>
  <c r="I20" i="41"/>
  <c r="H20" i="41"/>
  <c r="B20" i="41"/>
  <c r="Y19" i="41"/>
  <c r="U19" i="41"/>
  <c r="B19" i="41"/>
  <c r="Y18" i="41"/>
  <c r="X18" i="41"/>
  <c r="W18" i="41"/>
  <c r="V18" i="41"/>
  <c r="U18" i="41"/>
  <c r="K28" i="44" l="1"/>
  <c r="P13" i="44"/>
  <c r="H13" i="44"/>
  <c r="C28" i="44"/>
  <c r="C25" i="44"/>
  <c r="H12" i="44"/>
  <c r="E3" i="39"/>
  <c r="E4" i="39"/>
  <c r="E5" i="39"/>
  <c r="E6" i="39"/>
  <c r="E7" i="39"/>
  <c r="E8" i="39"/>
  <c r="E9" i="39"/>
  <c r="E10" i="39"/>
  <c r="E11" i="39"/>
  <c r="E12" i="39"/>
  <c r="E13" i="39"/>
  <c r="E14" i="39"/>
  <c r="E15" i="39"/>
  <c r="E2" i="39"/>
  <c r="B3" i="39"/>
  <c r="B4" i="39"/>
  <c r="B5" i="39"/>
  <c r="B6" i="39"/>
  <c r="B7" i="39"/>
  <c r="B8" i="39"/>
  <c r="B9" i="39"/>
  <c r="B10" i="39"/>
  <c r="B11" i="39"/>
  <c r="B12" i="39"/>
  <c r="B13" i="39"/>
  <c r="B14" i="39"/>
  <c r="B15" i="39"/>
  <c r="B2" i="39"/>
  <c r="G9" i="26"/>
  <c r="G8" i="26"/>
  <c r="G7" i="26"/>
  <c r="G6" i="26"/>
  <c r="G5" i="26"/>
  <c r="G4" i="26"/>
  <c r="G3" i="26"/>
  <c r="G2" i="26"/>
  <c r="M11" i="25"/>
  <c r="O6" i="25" s="1"/>
  <c r="M10" i="25"/>
  <c r="O5" i="25" s="1"/>
  <c r="M8" i="25"/>
  <c r="O3" i="25" s="1"/>
  <c r="J3" i="20"/>
  <c r="L8" i="20" s="1"/>
  <c r="J14" i="19"/>
  <c r="K20" i="19" s="1"/>
  <c r="J22" i="43" l="1"/>
  <c r="F9" i="44" a="1"/>
  <c r="F9" i="44" s="1"/>
  <c r="N10" i="44"/>
  <c r="K4" i="44" s="1" a="1"/>
  <c r="K4" i="44" s="1"/>
  <c r="C29" i="45" s="1"/>
  <c r="P7" i="25"/>
  <c r="Q1" i="10"/>
  <c r="P1" i="9"/>
  <c r="L1" i="4"/>
  <c r="M1" i="1"/>
  <c r="K19" i="44" l="1"/>
  <c r="P10" i="44"/>
  <c r="H9" i="44"/>
  <c r="C16" i="44"/>
  <c r="M15" i="44"/>
  <c r="M31" i="44"/>
  <c r="L31" i="44"/>
  <c r="N31" i="44"/>
  <c r="N7" i="9"/>
  <c r="P3" i="9" s="1"/>
  <c r="M7" i="8"/>
  <c r="O12" i="8" l="1"/>
  <c r="J17" i="7" s="1"/>
  <c r="F6" i="44"/>
  <c r="D2" i="1"/>
  <c r="D1" i="1"/>
  <c r="F7" i="44" l="1" a="1"/>
  <c r="F7" i="44" s="1"/>
  <c r="C4" i="44" s="1" a="1"/>
  <c r="C4" i="44" s="1"/>
  <c r="C7" i="44"/>
  <c r="H6" i="44"/>
  <c r="C10" i="44" l="1"/>
  <c r="H7" i="44"/>
  <c r="D31" i="44"/>
  <c r="C28" i="45"/>
  <c r="E31" i="44"/>
  <c r="F31" i="44"/>
  <c r="E6" i="4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F1" authorId="0" shapeId="0" xr:uid="{00000000-0006-0000-0900-000001000000}">
      <text>
        <r>
          <rPr>
            <b/>
            <sz val="9"/>
            <color indexed="81"/>
            <rFont val="Tahoma"/>
            <family val="2"/>
            <charset val="204"/>
          </rPr>
          <t>% премии от Оклада</t>
        </r>
      </text>
    </comment>
    <comment ref="G1" authorId="0" shapeId="0" xr:uid="{00000000-0006-0000-0900-000002000000}">
      <text>
        <r>
          <rPr>
            <b/>
            <sz val="9"/>
            <color indexed="81"/>
            <rFont val="Tahoma"/>
            <family val="2"/>
            <charset val="204"/>
          </rPr>
          <t>13% от Оклада вместе с Премией</t>
        </r>
      </text>
    </comment>
    <comment ref="H1" authorId="0" shapeId="0" xr:uid="{00000000-0006-0000-0900-000003000000}">
      <text>
        <r>
          <rPr>
            <b/>
            <sz val="9"/>
            <color rgb="FF000000"/>
            <rFont val="Tahoma"/>
            <family val="2"/>
            <charset val="204"/>
          </rPr>
          <t>Оклад вместе с Премией за вычетом Налога в денежном выражении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F1" authorId="0" shapeId="0" xr:uid="{00000000-0006-0000-2100-000001000000}">
      <text>
        <r>
          <rPr>
            <b/>
            <sz val="9"/>
            <color rgb="FF000000"/>
            <rFont val="Tahoma"/>
            <family val="2"/>
            <charset val="204"/>
          </rPr>
          <t xml:space="preserve">Отделы см. в комментарии: ФИН, АДМ и т.д. 
</t>
        </r>
      </text>
    </comment>
  </commentList>
</comments>
</file>

<file path=xl/sharedStrings.xml><?xml version="1.0" encoding="utf-8"?>
<sst xmlns="http://schemas.openxmlformats.org/spreadsheetml/2006/main" count="3133" uniqueCount="1225">
  <si>
    <t>Преподаватель:</t>
  </si>
  <si>
    <t>Контакты:</t>
  </si>
  <si>
    <t>Курс: Microsoft Excel | Уровень II Ч.1</t>
  </si>
  <si>
    <t>Содержание</t>
  </si>
  <si>
    <t>1.</t>
  </si>
  <si>
    <t>2.</t>
  </si>
  <si>
    <t>3.</t>
  </si>
  <si>
    <t>4.</t>
  </si>
  <si>
    <t>АРИФМЕТИКА</t>
  </si>
  <si>
    <t>СРАВНЕНИЕ</t>
  </si>
  <si>
    <t>СИМВОЛ</t>
  </si>
  <si>
    <t>ОПЕРАТОР</t>
  </si>
  <si>
    <t>(          )</t>
  </si>
  <si>
    <t>скобки</t>
  </si>
  <si>
    <t>=</t>
  </si>
  <si>
    <t>равно</t>
  </si>
  <si>
    <t>^</t>
  </si>
  <si>
    <t>степень</t>
  </si>
  <si>
    <t>&lt;</t>
  </si>
  <si>
    <t>меньше</t>
  </si>
  <si>
    <t>*</t>
  </si>
  <si>
    <t>умножение</t>
  </si>
  <si>
    <t>&gt;</t>
  </si>
  <si>
    <t>больше</t>
  </si>
  <si>
    <t>/</t>
  </si>
  <si>
    <t>деление</t>
  </si>
  <si>
    <t>&lt;=</t>
  </si>
  <si>
    <t>меньше или равно</t>
  </si>
  <si>
    <t>+</t>
  </si>
  <si>
    <t>сложение</t>
  </si>
  <si>
    <t>&gt;=</t>
  </si>
  <si>
    <t>больше или равно</t>
  </si>
  <si>
    <t>-</t>
  </si>
  <si>
    <t>вычитание</t>
  </si>
  <si>
    <t>&lt;&gt;</t>
  </si>
  <si>
    <t>не равно</t>
  </si>
  <si>
    <t>Петухова</t>
  </si>
  <si>
    <t>Овнова</t>
  </si>
  <si>
    <t>Орлов</t>
  </si>
  <si>
    <t>Носорогова</t>
  </si>
  <si>
    <t>Мышкин</t>
  </si>
  <si>
    <t>Лимонова</t>
  </si>
  <si>
    <t>Карасев</t>
  </si>
  <si>
    <t>Зайкин</t>
  </si>
  <si>
    <t>Книга</t>
  </si>
  <si>
    <t>Дятлова</t>
  </si>
  <si>
    <t>Дынин</t>
  </si>
  <si>
    <t>Дроздова</t>
  </si>
  <si>
    <t>Дубов</t>
  </si>
  <si>
    <t>Дятлов</t>
  </si>
  <si>
    <t>Вишнева</t>
  </si>
  <si>
    <t>Воронова</t>
  </si>
  <si>
    <t>Арбузов</t>
  </si>
  <si>
    <t>Данные 2</t>
  </si>
  <si>
    <t>Данные 1</t>
  </si>
  <si>
    <t>ИТОГО</t>
  </si>
  <si>
    <t>Комплектовщик</t>
  </si>
  <si>
    <t>Сравнение</t>
  </si>
  <si>
    <t>Состав корзины</t>
  </si>
  <si>
    <t>Задания</t>
  </si>
  <si>
    <t>количество:</t>
  </si>
  <si>
    <t>Шоколадные торты</t>
  </si>
  <si>
    <t>Ванильные торты</t>
  </si>
  <si>
    <t>Операция сложения</t>
  </si>
  <si>
    <t>Операции сравнения</t>
  </si>
  <si>
    <t>выполнено →</t>
  </si>
  <si>
    <t>ОПЕРАТОРЫ В ЭКСЕЛЬ</t>
  </si>
  <si>
    <t>Прокат 1</t>
  </si>
  <si>
    <t>Автомобиль</t>
  </si>
  <si>
    <t>Дата начала проката</t>
  </si>
  <si>
    <t>Дата окончания проката</t>
  </si>
  <si>
    <t>Стоимость 1 дня, р</t>
  </si>
  <si>
    <t>Итоговая Стоимость, р</t>
  </si>
  <si>
    <t>BMW</t>
  </si>
  <si>
    <t>Suzuki</t>
  </si>
  <si>
    <t>Mazda</t>
  </si>
  <si>
    <t>Audi</t>
  </si>
  <si>
    <t>Opel</t>
  </si>
  <si>
    <t>Прокат 2</t>
  </si>
  <si>
    <t>Продажи инвентаря</t>
  </si>
  <si>
    <t>№</t>
  </si>
  <si>
    <t>Наименование</t>
  </si>
  <si>
    <t>Цена</t>
  </si>
  <si>
    <t>Количество</t>
  </si>
  <si>
    <t>Стоимость</t>
  </si>
  <si>
    <t>Скидка</t>
  </si>
  <si>
    <t>Вилы</t>
  </si>
  <si>
    <t>Корзина</t>
  </si>
  <si>
    <t>Лопата</t>
  </si>
  <si>
    <t>Газонокосилка</t>
  </si>
  <si>
    <t>Пакеты</t>
  </si>
  <si>
    <t>Грабли</t>
  </si>
  <si>
    <t>Пылесос</t>
  </si>
  <si>
    <t>Униформа</t>
  </si>
  <si>
    <t>Секатор</t>
  </si>
  <si>
    <t>Метла</t>
  </si>
  <si>
    <t>Перчатки</t>
  </si>
  <si>
    <t>Сапоги резиновые</t>
  </si>
  <si>
    <t>Относительные ссылки</t>
  </si>
  <si>
    <t>Абсолютные ссылки+ссылки на др.листы</t>
  </si>
  <si>
    <t>ССЫЛКИ В ЭКСЕЛЬ</t>
  </si>
  <si>
    <t>Длина</t>
  </si>
  <si>
    <t>Ширина</t>
  </si>
  <si>
    <r>
      <t>= (</t>
    </r>
    <r>
      <rPr>
        <sz val="22"/>
        <color rgb="FFFF0000"/>
        <rFont val="Calibri"/>
        <family val="2"/>
        <scheme val="minor"/>
      </rPr>
      <t>цена</t>
    </r>
    <r>
      <rPr>
        <sz val="22"/>
        <color theme="1"/>
        <rFont val="Calibri"/>
        <family val="2"/>
        <scheme val="minor"/>
      </rPr>
      <t>*</t>
    </r>
    <r>
      <rPr>
        <sz val="22"/>
        <color rgb="FF002060"/>
        <rFont val="Calibri"/>
        <family val="2"/>
        <scheme val="minor"/>
      </rPr>
      <t>количество</t>
    </r>
    <r>
      <rPr>
        <sz val="22"/>
        <color theme="1"/>
        <rFont val="Calibri"/>
        <family val="2"/>
        <scheme val="minor"/>
      </rPr>
      <t>*(1-</t>
    </r>
    <r>
      <rPr>
        <sz val="22"/>
        <color rgb="FF00B050"/>
        <rFont val="Calibri"/>
        <family val="2"/>
        <scheme val="minor"/>
      </rPr>
      <t>скидка)</t>
    </r>
    <r>
      <rPr>
        <sz val="22"/>
        <color theme="1"/>
        <rFont val="Calibri"/>
        <family val="2"/>
        <scheme val="minor"/>
      </rPr>
      <t>+</t>
    </r>
    <r>
      <rPr>
        <sz val="22"/>
        <color rgb="FF7030A0"/>
        <rFont val="Calibri"/>
        <family val="2"/>
        <scheme val="minor"/>
      </rPr>
      <t>доставка</t>
    </r>
    <r>
      <rPr>
        <sz val="22"/>
        <color theme="1"/>
        <rFont val="Calibri"/>
        <family val="2"/>
        <scheme val="minor"/>
      </rPr>
      <t>)/</t>
    </r>
    <r>
      <rPr>
        <sz val="22"/>
        <color rgb="FFFF0000"/>
        <rFont val="Calibri"/>
        <family val="2"/>
        <scheme val="minor"/>
      </rPr>
      <t>курс</t>
    </r>
  </si>
  <si>
    <t xml:space="preserve"> = (G16*H16*(1-I16)+J16)/O15</t>
  </si>
  <si>
    <t>Фамилия</t>
  </si>
  <si>
    <t>Имя</t>
  </si>
  <si>
    <t>Отчество</t>
  </si>
  <si>
    <t>Оклад, €</t>
  </si>
  <si>
    <t>Премия, €</t>
  </si>
  <si>
    <t>Налог, €</t>
  </si>
  <si>
    <t>Итого, €</t>
  </si>
  <si>
    <t>Итого, р</t>
  </si>
  <si>
    <t>Итого, $</t>
  </si>
  <si>
    <t>% премии</t>
  </si>
  <si>
    <t>Антон</t>
  </si>
  <si>
    <t>Алексеевич</t>
  </si>
  <si>
    <t>Арбузова</t>
  </si>
  <si>
    <t>Анна</t>
  </si>
  <si>
    <t>Алексеевна</t>
  </si>
  <si>
    <t>Воронов</t>
  </si>
  <si>
    <t>Виктор</t>
  </si>
  <si>
    <t>Васильевич</t>
  </si>
  <si>
    <t>Вера</t>
  </si>
  <si>
    <t>Васильевна</t>
  </si>
  <si>
    <t>Валентина</t>
  </si>
  <si>
    <t>Викторовна</t>
  </si>
  <si>
    <t>Вишнев</t>
  </si>
  <si>
    <t>Василий</t>
  </si>
  <si>
    <t>Викторович</t>
  </si>
  <si>
    <t>Даниил</t>
  </si>
  <si>
    <t>Дмитриевич</t>
  </si>
  <si>
    <t>Денис</t>
  </si>
  <si>
    <t>Давидович</t>
  </si>
  <si>
    <t>Дарья</t>
  </si>
  <si>
    <t>Дмитриевна</t>
  </si>
  <si>
    <t>Дмитрий</t>
  </si>
  <si>
    <t>Данилович</t>
  </si>
  <si>
    <t>Дина</t>
  </si>
  <si>
    <t>Зайкина</t>
  </si>
  <si>
    <t>Зинаида</t>
  </si>
  <si>
    <t>Захаровна</t>
  </si>
  <si>
    <t>Захар</t>
  </si>
  <si>
    <t>Захарович</t>
  </si>
  <si>
    <t>Константин</t>
  </si>
  <si>
    <t>Кириллович</t>
  </si>
  <si>
    <t>Лимонов</t>
  </si>
  <si>
    <t>Леонид</t>
  </si>
  <si>
    <t>Леонидович</t>
  </si>
  <si>
    <t>Лариса</t>
  </si>
  <si>
    <t>Леонтьевна</t>
  </si>
  <si>
    <t>Мышкина</t>
  </si>
  <si>
    <t>Марина</t>
  </si>
  <si>
    <t>Максимовна</t>
  </si>
  <si>
    <t>Максим</t>
  </si>
  <si>
    <t>Михайлович</t>
  </si>
  <si>
    <t>Нина</t>
  </si>
  <si>
    <t>Николаевна</t>
  </si>
  <si>
    <t>Носорогов</t>
  </si>
  <si>
    <t>Никита</t>
  </si>
  <si>
    <t>Николаевич</t>
  </si>
  <si>
    <t>Олег</t>
  </si>
  <si>
    <t>Осипович</t>
  </si>
  <si>
    <t>Орлова</t>
  </si>
  <si>
    <t>Ольга</t>
  </si>
  <si>
    <t>Олеговна</t>
  </si>
  <si>
    <t>Оксана</t>
  </si>
  <si>
    <t>Полина</t>
  </si>
  <si>
    <t>Платоновна</t>
  </si>
  <si>
    <t>Петухов</t>
  </si>
  <si>
    <t>Платон</t>
  </si>
  <si>
    <t>Петрович</t>
  </si>
  <si>
    <t>Перчев</t>
  </si>
  <si>
    <t>Павел</t>
  </si>
  <si>
    <t>Платонович</t>
  </si>
  <si>
    <t>Перцева</t>
  </si>
  <si>
    <t>Павловна</t>
  </si>
  <si>
    <t>Птицина</t>
  </si>
  <si>
    <t>Пелагея</t>
  </si>
  <si>
    <t>Птицин</t>
  </si>
  <si>
    <t>Петр</t>
  </si>
  <si>
    <t>Павлович</t>
  </si>
  <si>
    <t>Павианов</t>
  </si>
  <si>
    <t>Рогова</t>
  </si>
  <si>
    <t>Раиса</t>
  </si>
  <si>
    <t>Романовна</t>
  </si>
  <si>
    <t>Редькина</t>
  </si>
  <si>
    <t>Рената</t>
  </si>
  <si>
    <t>Руслановна</t>
  </si>
  <si>
    <t>Рогов</t>
  </si>
  <si>
    <t>Руслан</t>
  </si>
  <si>
    <t>Романович</t>
  </si>
  <si>
    <t>Редькин</t>
  </si>
  <si>
    <t>Роман</t>
  </si>
  <si>
    <t>Русланович</t>
  </si>
  <si>
    <t>Ромашкин</t>
  </si>
  <si>
    <t>Степнов</t>
  </si>
  <si>
    <t>Сергей</t>
  </si>
  <si>
    <t>Семенович</t>
  </si>
  <si>
    <t>Станислав</t>
  </si>
  <si>
    <t>Степнова</t>
  </si>
  <si>
    <t>Светлана</t>
  </si>
  <si>
    <t>Сергеевна</t>
  </si>
  <si>
    <t>Турова</t>
  </si>
  <si>
    <t>Таисия</t>
  </si>
  <si>
    <t>Тихоновна</t>
  </si>
  <si>
    <t>Туров</t>
  </si>
  <si>
    <t>Тимофей</t>
  </si>
  <si>
    <t>Трофимович</t>
  </si>
  <si>
    <t>Уткин</t>
  </si>
  <si>
    <t>Устин</t>
  </si>
  <si>
    <t>Устинович</t>
  </si>
  <si>
    <t>Уткина</t>
  </si>
  <si>
    <t>Ульяна</t>
  </si>
  <si>
    <t>Устиновна</t>
  </si>
  <si>
    <t>Хомякова</t>
  </si>
  <si>
    <t>Христина</t>
  </si>
  <si>
    <t>Харитоновна</t>
  </si>
  <si>
    <t>Хомяков</t>
  </si>
  <si>
    <t>Харитон</t>
  </si>
  <si>
    <t>Харитонович</t>
  </si>
  <si>
    <t>Южный</t>
  </si>
  <si>
    <t>Юрий</t>
  </si>
  <si>
    <t>Юрьевич</t>
  </si>
  <si>
    <t>Южная</t>
  </si>
  <si>
    <t>Юлия</t>
  </si>
  <si>
    <t>Юрьевна</t>
  </si>
  <si>
    <t>Яблокова</t>
  </si>
  <si>
    <t>Яна</t>
  </si>
  <si>
    <t>Яковлевна</t>
  </si>
  <si>
    <t>Яблоков</t>
  </si>
  <si>
    <t>Яков</t>
  </si>
  <si>
    <t>Яковлевич</t>
  </si>
  <si>
    <t>КурсДоллара</t>
  </si>
  <si>
    <t>КурсЕвро</t>
  </si>
  <si>
    <t>Именованные ячейки</t>
  </si>
  <si>
    <t>Продажи 01.05.2017</t>
  </si>
  <si>
    <r>
      <t>=(</t>
    </r>
    <r>
      <rPr>
        <sz val="14"/>
        <color rgb="FFFF0000"/>
        <rFont val="Calibri"/>
        <family val="2"/>
        <charset val="204"/>
        <scheme val="minor"/>
      </rPr>
      <t>цена</t>
    </r>
    <r>
      <rPr>
        <sz val="14"/>
        <color theme="1"/>
        <rFont val="Calibri"/>
        <family val="2"/>
        <scheme val="minor"/>
      </rPr>
      <t>*</t>
    </r>
    <r>
      <rPr>
        <sz val="14"/>
        <color rgb="FF002060"/>
        <rFont val="Calibri"/>
        <family val="2"/>
        <charset val="204"/>
        <scheme val="minor"/>
      </rPr>
      <t>количество</t>
    </r>
    <r>
      <rPr>
        <sz val="14"/>
        <color theme="1"/>
        <rFont val="Calibri"/>
        <family val="2"/>
        <scheme val="minor"/>
      </rPr>
      <t>*(1-</t>
    </r>
    <r>
      <rPr>
        <sz val="14"/>
        <color rgb="FF00B050"/>
        <rFont val="Calibri"/>
        <family val="2"/>
        <charset val="204"/>
        <scheme val="minor"/>
      </rPr>
      <t>скидка)</t>
    </r>
    <r>
      <rPr>
        <sz val="1"/>
        <rFont val="Calibri"/>
        <family val="2"/>
        <charset val="204"/>
        <scheme val="minor"/>
      </rPr>
      <t>))</t>
    </r>
    <r>
      <rPr>
        <sz val="14"/>
        <color theme="1"/>
        <rFont val="Calibri"/>
        <family val="2"/>
        <scheme val="minor"/>
      </rPr>
      <t>+</t>
    </r>
    <r>
      <rPr>
        <sz val="14"/>
        <color rgb="FF7030A0"/>
        <rFont val="Calibri"/>
        <family val="2"/>
        <charset val="204"/>
        <scheme val="minor"/>
      </rPr>
      <t>доставка)</t>
    </r>
    <r>
      <rPr>
        <sz val="14"/>
        <color theme="1"/>
        <rFont val="Calibri"/>
        <family val="2"/>
        <scheme val="minor"/>
      </rPr>
      <t>/</t>
    </r>
    <r>
      <rPr>
        <sz val="14"/>
        <color rgb="FFFF0000"/>
        <rFont val="Calibri"/>
        <family val="2"/>
        <charset val="204"/>
        <scheme val="minor"/>
      </rPr>
      <t>курс</t>
    </r>
  </si>
  <si>
    <t>Артикул</t>
  </si>
  <si>
    <t>Торговая марка</t>
  </si>
  <si>
    <t>Доставка</t>
  </si>
  <si>
    <t>Стоимость, $</t>
  </si>
  <si>
    <t>K001</t>
  </si>
  <si>
    <t>Кроссовки</t>
  </si>
  <si>
    <t>Skechers</t>
  </si>
  <si>
    <t>K002</t>
  </si>
  <si>
    <t>Puma</t>
  </si>
  <si>
    <t>K003</t>
  </si>
  <si>
    <t>Adidas</t>
  </si>
  <si>
    <t>K004</t>
  </si>
  <si>
    <t>Brooks</t>
  </si>
  <si>
    <t>K005</t>
  </si>
  <si>
    <t>Спортивный костюм</t>
  </si>
  <si>
    <t>Nike</t>
  </si>
  <si>
    <t>K006</t>
  </si>
  <si>
    <t>Жилет</t>
  </si>
  <si>
    <t>K007</t>
  </si>
  <si>
    <t>Майка</t>
  </si>
  <si>
    <t>Reebok</t>
  </si>
  <si>
    <t>K008</t>
  </si>
  <si>
    <t>K009</t>
  </si>
  <si>
    <t>K010</t>
  </si>
  <si>
    <t>Шорты</t>
  </si>
  <si>
    <t>Asics</t>
  </si>
  <si>
    <t>K011</t>
  </si>
  <si>
    <t>Джемпер</t>
  </si>
  <si>
    <t>K012</t>
  </si>
  <si>
    <t>Фуфайка</t>
  </si>
  <si>
    <t>K013</t>
  </si>
  <si>
    <t>Ветровка</t>
  </si>
  <si>
    <t>K014</t>
  </si>
  <si>
    <t>Брюки</t>
  </si>
  <si>
    <t>Termit</t>
  </si>
  <si>
    <t>Именованные диапазоны</t>
  </si>
  <si>
    <t>таблица расчета мотивационного бонуса</t>
  </si>
  <si>
    <t>сумма продаж</t>
  </si>
  <si>
    <t>Категория товара - Доля продаж</t>
  </si>
  <si>
    <t>1 кат.</t>
  </si>
  <si>
    <t>2 кат.</t>
  </si>
  <si>
    <t>3 кат.</t>
  </si>
  <si>
    <t>4 кат.</t>
  </si>
  <si>
    <t>5 кат.</t>
  </si>
  <si>
    <t>6 кат.</t>
  </si>
  <si>
    <t>7 кат.</t>
  </si>
  <si>
    <t>8 кат.</t>
  </si>
  <si>
    <t>9 кат.</t>
  </si>
  <si>
    <t>10 кат.</t>
  </si>
  <si>
    <t>Именованные диапазоны и смеш ссылки</t>
  </si>
  <si>
    <t>ИМЕНА В ЭКСЕЛЬ</t>
  </si>
  <si>
    <t>* СЧЁТЕСЛИ</t>
  </si>
  <si>
    <t>Пол</t>
  </si>
  <si>
    <t>Дата
рождения</t>
  </si>
  <si>
    <t>Город</t>
  </si>
  <si>
    <t>Отдел</t>
  </si>
  <si>
    <t>* СЧЁТЕСЛИМН</t>
  </si>
  <si>
    <t>м</t>
  </si>
  <si>
    <t>Москва</t>
  </si>
  <si>
    <t>ФИН</t>
  </si>
  <si>
    <t>Количество сотрудников:</t>
  </si>
  <si>
    <t>* СРЗНАЧЕСЛИ</t>
  </si>
  <si>
    <t>ж</t>
  </si>
  <si>
    <t>Звенигород</t>
  </si>
  <si>
    <t>ЛОГ</t>
  </si>
  <si>
    <t>* СРЗНАЧЕСЛИМН</t>
  </si>
  <si>
    <t>ОТД</t>
  </si>
  <si>
    <t>Количество сотрудников по полу:</t>
  </si>
  <si>
    <t>Нижний Новгород</t>
  </si>
  <si>
    <t>М</t>
  </si>
  <si>
    <t>Екатеринбург</t>
  </si>
  <si>
    <t>ОНК</t>
  </si>
  <si>
    <t>Ж</t>
  </si>
  <si>
    <t>Количество мужчин в отделах:</t>
  </si>
  <si>
    <t>Казань</t>
  </si>
  <si>
    <t>Среднее значение оклада, €:</t>
  </si>
  <si>
    <t>Ярославль</t>
  </si>
  <si>
    <t>Среднее значение оклада по полу:</t>
  </si>
  <si>
    <t>Санкт-Петербург</t>
  </si>
  <si>
    <t>Средний оклад для женщин по городам</t>
  </si>
  <si>
    <t>Владимир</t>
  </si>
  <si>
    <t>Красногорск</t>
  </si>
  <si>
    <t>Перцев</t>
  </si>
  <si>
    <t>Количество сотрудников по условиям</t>
  </si>
  <si>
    <t>отдела ОНК с окладом свыше 4000€</t>
  </si>
  <si>
    <t>рожденных с 1970 по 1989 г. вкл.</t>
  </si>
  <si>
    <t>Удодов</t>
  </si>
  <si>
    <t>Ульрих</t>
  </si>
  <si>
    <t>Уокерович</t>
  </si>
  <si>
    <t>Удодова</t>
  </si>
  <si>
    <t>Улана</t>
  </si>
  <si>
    <t>Умбертовна</t>
  </si>
  <si>
    <t>Хлебов</t>
  </si>
  <si>
    <t>Христофор</t>
  </si>
  <si>
    <t>Харламович</t>
  </si>
  <si>
    <t>Хлебова</t>
  </si>
  <si>
    <t>Хилари</t>
  </si>
  <si>
    <t>Хановна</t>
  </si>
  <si>
    <t>Ангелочкин</t>
  </si>
  <si>
    <t>Ангелочкина</t>
  </si>
  <si>
    <t>Везунчиков</t>
  </si>
  <si>
    <t>Везунчикова</t>
  </si>
  <si>
    <t>Веселая</t>
  </si>
  <si>
    <t>Веселый</t>
  </si>
  <si>
    <t>Добрейший</t>
  </si>
  <si>
    <t>Добрецов</t>
  </si>
  <si>
    <t>Добрецова</t>
  </si>
  <si>
    <t>Душечкин</t>
  </si>
  <si>
    <t>Душечкина</t>
  </si>
  <si>
    <t>Замечательная</t>
  </si>
  <si>
    <t>Замечательный</t>
  </si>
  <si>
    <t>Красавцев</t>
  </si>
  <si>
    <t>Любовь</t>
  </si>
  <si>
    <t>Мирная</t>
  </si>
  <si>
    <t>Мирный</t>
  </si>
  <si>
    <t>Неунывающая</t>
  </si>
  <si>
    <t>Неунывающий</t>
  </si>
  <si>
    <t>Оптимистов</t>
  </si>
  <si>
    <t>Оптимистова</t>
  </si>
  <si>
    <t>Отличницева</t>
  </si>
  <si>
    <t>Позитивная</t>
  </si>
  <si>
    <t>Позитивов</t>
  </si>
  <si>
    <t>Праздников</t>
  </si>
  <si>
    <t>Праздникова</t>
  </si>
  <si>
    <t>Прекрасная</t>
  </si>
  <si>
    <t>Прекрасный</t>
  </si>
  <si>
    <t>Номер автомобиля</t>
  </si>
  <si>
    <t>А454МР</t>
  </si>
  <si>
    <t>В858ОР</t>
  </si>
  <si>
    <t>К909ОМ</t>
  </si>
  <si>
    <t>А222СР</t>
  </si>
  <si>
    <t>М555ММ</t>
  </si>
  <si>
    <t>Т333УТ</t>
  </si>
  <si>
    <t>Т656АМ</t>
  </si>
  <si>
    <t>К757ОТ</t>
  </si>
  <si>
    <t>М303РУ</t>
  </si>
  <si>
    <t>О777ОО</t>
  </si>
  <si>
    <t>А555АА</t>
  </si>
  <si>
    <t>Н333ОХ</t>
  </si>
  <si>
    <t>Р100ОТ</t>
  </si>
  <si>
    <t>Р278СХ</t>
  </si>
  <si>
    <t>Е303ОС</t>
  </si>
  <si>
    <t>Имена в эксель - именованные ячейки, диапазоны</t>
  </si>
  <si>
    <t>Функции в эксель</t>
  </si>
  <si>
    <t>3.1</t>
  </si>
  <si>
    <t>3.2</t>
  </si>
  <si>
    <t>3.3</t>
  </si>
  <si>
    <t>Математические - округление</t>
  </si>
  <si>
    <t>Математические - сумма, счет по условию</t>
  </si>
  <si>
    <t>Ссылки и массивы - ВПР</t>
  </si>
  <si>
    <t>3.4</t>
  </si>
  <si>
    <t>3.5</t>
  </si>
  <si>
    <t>Текстовые</t>
  </si>
  <si>
    <t>3.6</t>
  </si>
  <si>
    <t>Функции даты и времени</t>
  </si>
  <si>
    <t>Ошибки в эксель</t>
  </si>
  <si>
    <t>Исходное значение</t>
  </si>
  <si>
    <t>ОКРУГЛ</t>
  </si>
  <si>
    <t>ОКРВВЕРХ.МАТ</t>
  </si>
  <si>
    <t>ЦЕЛОЕ</t>
  </si>
  <si>
    <t>* СУММ</t>
  </si>
  <si>
    <t>Продажи МАЙ 2017</t>
  </si>
  <si>
    <t>* СУММЕСЛИ</t>
  </si>
  <si>
    <t>Продано, кг</t>
  </si>
  <si>
    <t>Упаковка, шт</t>
  </si>
  <si>
    <t>Дата продажи</t>
  </si>
  <si>
    <t>* СУММЕСЛИМН</t>
  </si>
  <si>
    <t>Яблоки Антоновка</t>
  </si>
  <si>
    <t>Общий объем продаж, кг:</t>
  </si>
  <si>
    <t>Груши</t>
  </si>
  <si>
    <t>Дыни</t>
  </si>
  <si>
    <t>Объем продаж Дынь, кг</t>
  </si>
  <si>
    <t>Бананы</t>
  </si>
  <si>
    <t>Апельсины</t>
  </si>
  <si>
    <r>
      <t xml:space="preserve">Объем продаж </t>
    </r>
    <r>
      <rPr>
        <b/>
        <sz val="11"/>
        <rFont val="Calibri"/>
        <family val="2"/>
        <charset val="204"/>
        <scheme val="minor"/>
      </rPr>
      <t>всех видов яблок</t>
    </r>
    <r>
      <rPr>
        <sz val="11"/>
        <rFont val="Calibri"/>
        <family val="2"/>
        <charset val="204"/>
        <scheme val="minor"/>
      </rPr>
      <t>, кг:</t>
    </r>
  </si>
  <si>
    <t>Яблоки Гренни Смит</t>
  </si>
  <si>
    <t>Количество упаковок:</t>
  </si>
  <si>
    <t>Яблоки Макинтош</t>
  </si>
  <si>
    <t>Яблоки Айдаред</t>
  </si>
  <si>
    <t>Яблоки Голден Делишес</t>
  </si>
  <si>
    <t>Персики</t>
  </si>
  <si>
    <t>Яблоки Бреберн</t>
  </si>
  <si>
    <t>Яблоки Ред Делишес</t>
  </si>
  <si>
    <t>Яблоки Фуджи</t>
  </si>
  <si>
    <t>Яблоки Гала</t>
  </si>
  <si>
    <t>Дети сотрудников отделов</t>
  </si>
  <si>
    <t>количество
детей</t>
  </si>
  <si>
    <t>Сумма окладов, €:</t>
  </si>
  <si>
    <t>Количество детей сотрудников:</t>
  </si>
  <si>
    <t>рожденных до 1980 г</t>
  </si>
  <si>
    <t>отдела ЛОГ</t>
  </si>
  <si>
    <t>* ВПР</t>
  </si>
  <si>
    <t>Выгрузка</t>
  </si>
  <si>
    <t>VIP</t>
  </si>
  <si>
    <t>Код заказа</t>
  </si>
  <si>
    <t>Клиент</t>
  </si>
  <si>
    <t>Статус</t>
  </si>
  <si>
    <t>М003</t>
  </si>
  <si>
    <t>Норкин</t>
  </si>
  <si>
    <t>М001</t>
  </si>
  <si>
    <t>выполнен</t>
  </si>
  <si>
    <t>М002</t>
  </si>
  <si>
    <t>отменен</t>
  </si>
  <si>
    <t>М004</t>
  </si>
  <si>
    <t>М005</t>
  </si>
  <si>
    <t>М007</t>
  </si>
  <si>
    <t>в доставке</t>
  </si>
  <si>
    <t>М006</t>
  </si>
  <si>
    <t>М008</t>
  </si>
  <si>
    <t>М009</t>
  </si>
  <si>
    <t>М010</t>
  </si>
  <si>
    <t>в сборе</t>
  </si>
  <si>
    <t>Должностные оклады сотрудников</t>
  </si>
  <si>
    <t>Фамилия Имя Отчество</t>
  </si>
  <si>
    <t>Должность</t>
  </si>
  <si>
    <t>Оклад</t>
  </si>
  <si>
    <t>Код должности</t>
  </si>
  <si>
    <t>Оклад, р</t>
  </si>
  <si>
    <t>Арбузов Антон Алексеевич</t>
  </si>
  <si>
    <t>курьер</t>
  </si>
  <si>
    <t>генеральный директор</t>
  </si>
  <si>
    <t>гендир</t>
  </si>
  <si>
    <t>Воронов Виктор Васильевич</t>
  </si>
  <si>
    <t>менеджер</t>
  </si>
  <si>
    <t>фин. директор</t>
  </si>
  <si>
    <t>финдир</t>
  </si>
  <si>
    <t>Вишнева Валентина Викторовна</t>
  </si>
  <si>
    <t>бухгалтер</t>
  </si>
  <si>
    <t>специалист</t>
  </si>
  <si>
    <t>спец</t>
  </si>
  <si>
    <t>Дятлов Даниил Дмитриевич</t>
  </si>
  <si>
    <t>начальник</t>
  </si>
  <si>
    <t>нач</t>
  </si>
  <si>
    <t>Дынин Дмитрий Данилович</t>
  </si>
  <si>
    <t>главный бухгалтер</t>
  </si>
  <si>
    <t>главбух</t>
  </si>
  <si>
    <t>Зайкина Зинаида Захаровна</t>
  </si>
  <si>
    <t>заместитель начальник</t>
  </si>
  <si>
    <t>бух</t>
  </si>
  <si>
    <t>Карасев Константин Кириллович</t>
  </si>
  <si>
    <t>замнач</t>
  </si>
  <si>
    <t>Лимонов Леонид Леонидович</t>
  </si>
  <si>
    <t>мен</t>
  </si>
  <si>
    <t>Мышкина Марина Максимовна</t>
  </si>
  <si>
    <t>кур</t>
  </si>
  <si>
    <t>Мышкин Максим Михайлович</t>
  </si>
  <si>
    <t>Носорогов Никита Николаевич</t>
  </si>
  <si>
    <t>Сумма окладов, р.</t>
  </si>
  <si>
    <t>Орлова Ольга Олеговна</t>
  </si>
  <si>
    <t>Петухов Платон Петрович</t>
  </si>
  <si>
    <t>Птицина Пелагея Платоновна</t>
  </si>
  <si>
    <t>Павианов Павел Петрович</t>
  </si>
  <si>
    <t>Редькина Рената Руслановна</t>
  </si>
  <si>
    <t>Ромашкин Роман Русланович</t>
  </si>
  <si>
    <t>Степнова Светлана Сергеевна</t>
  </si>
  <si>
    <t>Уткин Устин Устинович</t>
  </si>
  <si>
    <t>Удодов Ульрих Уокерович</t>
  </si>
  <si>
    <t>Хлебова Хилари Хановна</t>
  </si>
  <si>
    <t>Южная Юлия Юрьевна</t>
  </si>
  <si>
    <t>Яблоков Яков Яковлевич</t>
  </si>
  <si>
    <t>Стоимость доставки заказа</t>
  </si>
  <si>
    <t>ID заказа</t>
  </si>
  <si>
    <t>Масса груза, кг</t>
  </si>
  <si>
    <t>Стоимость доставки, р</t>
  </si>
  <si>
    <t>Категория</t>
  </si>
  <si>
    <t>Стоимость доставки, р.</t>
  </si>
  <si>
    <t>msk-77/01</t>
  </si>
  <si>
    <t>msk-77/02</t>
  </si>
  <si>
    <t>msk-77/03</t>
  </si>
  <si>
    <t>msk-77/04</t>
  </si>
  <si>
    <t>msk-77/05</t>
  </si>
  <si>
    <t>msk-77/06</t>
  </si>
  <si>
    <t>msk-77/07</t>
  </si>
  <si>
    <t>msk-77/08</t>
  </si>
  <si>
    <t>msk-77/09</t>
  </si>
  <si>
    <t>msk-77/10</t>
  </si>
  <si>
    <t>msk-77/11</t>
  </si>
  <si>
    <t>msk-77/12</t>
  </si>
  <si>
    <t>msk-77/13</t>
  </si>
  <si>
    <t>msk-77/14</t>
  </si>
  <si>
    <t>msk-77/15</t>
  </si>
  <si>
    <t>Пазлы 2017</t>
  </si>
  <si>
    <t>Наименование товара</t>
  </si>
  <si>
    <t>Кол-во деталей</t>
  </si>
  <si>
    <t>Изменение, шт</t>
  </si>
  <si>
    <t>пазл Апельсин</t>
  </si>
  <si>
    <t>пазл Бабочка</t>
  </si>
  <si>
    <t>пазл Бегемотик</t>
  </si>
  <si>
    <t>пазл Вертолет</t>
  </si>
  <si>
    <t>пазл Винни-Пух</t>
  </si>
  <si>
    <t>пазл Вишенка</t>
  </si>
  <si>
    <t>пазл Волк</t>
  </si>
  <si>
    <t>пазл Волшебник</t>
  </si>
  <si>
    <t>пазл Горнолыжник</t>
  </si>
  <si>
    <t>пазл Груша</t>
  </si>
  <si>
    <t>пазл Девочка</t>
  </si>
  <si>
    <t>пазл Дед мороз</t>
  </si>
  <si>
    <t>пазл Дельфин</t>
  </si>
  <si>
    <t>пазл Дюймовочка</t>
  </si>
  <si>
    <t>пазл Елочка</t>
  </si>
  <si>
    <t>пазл Жираф</t>
  </si>
  <si>
    <t>пазл Звездочет</t>
  </si>
  <si>
    <t>пазл Кабриолет</t>
  </si>
  <si>
    <t>пазл Карапуз</t>
  </si>
  <si>
    <t>пазл Кленовый лист</t>
  </si>
  <si>
    <t>пазл Клубничка</t>
  </si>
  <si>
    <t>пазл Конус</t>
  </si>
  <si>
    <t>пазл Космический воин</t>
  </si>
  <si>
    <t>пазл Кот в сапогах</t>
  </si>
  <si>
    <t>пазл Красная шапочка</t>
  </si>
  <si>
    <t>пазл Легенда</t>
  </si>
  <si>
    <t>пазл Лимончики</t>
  </si>
  <si>
    <t>пазл Лисенок</t>
  </si>
  <si>
    <t>пазл Лисичка</t>
  </si>
  <si>
    <t>пазл Лыжник</t>
  </si>
  <si>
    <t>пазл Лягушонок</t>
  </si>
  <si>
    <t>пазл Малинка</t>
  </si>
  <si>
    <t>пазл Мальчик</t>
  </si>
  <si>
    <t>пазл Матрешка</t>
  </si>
  <si>
    <t>пазл Маугли</t>
  </si>
  <si>
    <t>пазл Медвежонок</t>
  </si>
  <si>
    <t>пазл Микки Маус</t>
  </si>
  <si>
    <t>пазл Молодожены</t>
  </si>
  <si>
    <t>пазл Муравей</t>
  </si>
  <si>
    <t>пазл Мышонок</t>
  </si>
  <si>
    <t>пазл Обезьянка</t>
  </si>
  <si>
    <t>пазл Овечка</t>
  </si>
  <si>
    <t>пазл Пальма</t>
  </si>
  <si>
    <t>пазл Паровозик</t>
  </si>
  <si>
    <t>пазл Парусник</t>
  </si>
  <si>
    <t>пазл Персик</t>
  </si>
  <si>
    <t>пазл Пирамидка</t>
  </si>
  <si>
    <t>пазл Пчелка</t>
  </si>
  <si>
    <t>пазл Ракушки</t>
  </si>
  <si>
    <t>пазл Ромашки</t>
  </si>
  <si>
    <t>пазл Самовар</t>
  </si>
  <si>
    <t>пазл Самолет</t>
  </si>
  <si>
    <t>пазл Сердце</t>
  </si>
  <si>
    <t>пазл Слива</t>
  </si>
  <si>
    <t>пазл Слоненок</t>
  </si>
  <si>
    <t>пазл Смородинка</t>
  </si>
  <si>
    <t>пазл Снеговик</t>
  </si>
  <si>
    <t>пазл Снегурочка</t>
  </si>
  <si>
    <t>пазл Совенок</t>
  </si>
  <si>
    <t>пазл Солдатик</t>
  </si>
  <si>
    <t>пазл Солнышко</t>
  </si>
  <si>
    <t>пазл Фея</t>
  </si>
  <si>
    <t>пазл Чебурашка</t>
  </si>
  <si>
    <t>пазл Черепашка</t>
  </si>
  <si>
    <t>пазл Шапокляк</t>
  </si>
  <si>
    <t>пазл Яблочко</t>
  </si>
  <si>
    <t>Пазлы 2016</t>
  </si>
  <si>
    <t>пазл Гранат</t>
  </si>
  <si>
    <t>пазл Маг</t>
  </si>
  <si>
    <t>пазл Розочка</t>
  </si>
  <si>
    <t>пазл Утенок</t>
  </si>
  <si>
    <t>Ф.И.О.</t>
  </si>
  <si>
    <t>Оклад, руб</t>
  </si>
  <si>
    <t>Премия</t>
  </si>
  <si>
    <t>Коэффициент</t>
  </si>
  <si>
    <t>КОМ</t>
  </si>
  <si>
    <t>ОКЧ</t>
  </si>
  <si>
    <t>ОМА</t>
  </si>
  <si>
    <t>Для всех сотрудников со стажем более 8 лет включительно премия 30% от оклада. Остальным 5000р.</t>
  </si>
  <si>
    <t>Для всех штатных сотрудников со стажем более 7 лет включительно премия 30% от оклада. Остальным 5000р.</t>
  </si>
  <si>
    <t>Для всех сотрудников со стажем до 5 лет премия 5000р., от 5 до 8 включительно премия 20% от оклада, более 8 - 30% от оклада</t>
  </si>
  <si>
    <t>* ЕСЛИ</t>
  </si>
  <si>
    <t>* И</t>
  </si>
  <si>
    <t>УСЛОВИЯ</t>
  </si>
  <si>
    <t>всем</t>
  </si>
  <si>
    <t>стаж &gt;= 8</t>
  </si>
  <si>
    <t>штатные</t>
  </si>
  <si>
    <t>стаж &gt;= 7</t>
  </si>
  <si>
    <t>стаж &gt; 8</t>
  </si>
  <si>
    <t>стаж &lt; 5</t>
  </si>
  <si>
    <t>остальным</t>
  </si>
  <si>
    <t>стаж &lt;= 8</t>
  </si>
  <si>
    <t>Стаж работы</t>
  </si>
  <si>
    <t>УСЛОВИЕ</t>
  </si>
  <si>
    <t>Лисичкина И.Л.</t>
  </si>
  <si>
    <t>штатный</t>
  </si>
  <si>
    <t>Волков В.О.</t>
  </si>
  <si>
    <t>Медведев М.Е.</t>
  </si>
  <si>
    <t>внештатный</t>
  </si>
  <si>
    <t>Воронина О.В.</t>
  </si>
  <si>
    <t>Чижиков Ч.И.</t>
  </si>
  <si>
    <t>Мамонтова А.М.</t>
  </si>
  <si>
    <t>Дятлов Д.Я.</t>
  </si>
  <si>
    <t>Носорогова О.Н.</t>
  </si>
  <si>
    <t>Зебров З.Е.</t>
  </si>
  <si>
    <t>Собакин С.О.</t>
  </si>
  <si>
    <t>Доплаты и премии</t>
  </si>
  <si>
    <t>Рабочая смена</t>
  </si>
  <si>
    <t>Грейд сотрудника</t>
  </si>
  <si>
    <t>Бонус, р</t>
  </si>
  <si>
    <t>Премия, р</t>
  </si>
  <si>
    <t>Дынин Даниил Дмитриевич</t>
  </si>
  <si>
    <t>Лимонова Лариса Леонтьевна</t>
  </si>
  <si>
    <t>Носорогова Нина Николаевна</t>
  </si>
  <si>
    <t>Орлов Олег Осипович</t>
  </si>
  <si>
    <t>Овнова Оксана Олеговна</t>
  </si>
  <si>
    <t>Перцев Павел Платонович</t>
  </si>
  <si>
    <t>Птицин Петр Павлович</t>
  </si>
  <si>
    <t>Рогова Раиса Романовна</t>
  </si>
  <si>
    <t>Редькин Роман Русланович</t>
  </si>
  <si>
    <t>Степнов Станислав Семенович</t>
  </si>
  <si>
    <t>Туров Тимофей Трофимович</t>
  </si>
  <si>
    <t>Хомяков Харитон Харитонович</t>
  </si>
  <si>
    <t>БЫЛО</t>
  </si>
  <si>
    <t>СТАЛО</t>
  </si>
  <si>
    <t>* СЦЕПИТЬ</t>
  </si>
  <si>
    <t>mos</t>
  </si>
  <si>
    <t>VER</t>
  </si>
  <si>
    <t>* СЖПРОБЕЛЫ</t>
  </si>
  <si>
    <t xml:space="preserve">        Очень           Много                          Пробелов</t>
  </si>
  <si>
    <t>* ПРОПИСН</t>
  </si>
  <si>
    <t>* СТРОЧН</t>
  </si>
  <si>
    <t>* ПРОПНАЧ</t>
  </si>
  <si>
    <t>пЕРВАЯ бУКВА зАГЛАВНАЯ</t>
  </si>
  <si>
    <t>* ЛЕВСИМВ</t>
  </si>
  <si>
    <t>mos123VER</t>
  </si>
  <si>
    <t>* ПРАВСИМВ</t>
  </si>
  <si>
    <t>* ПСТР</t>
  </si>
  <si>
    <r>
      <t xml:space="preserve">Фамилия Имя Отчество
</t>
    </r>
    <r>
      <rPr>
        <b/>
        <sz val="11"/>
        <color theme="0" tint="-0.499984740745262"/>
        <rFont val="Calibri"/>
        <family val="2"/>
        <charset val="204"/>
        <scheme val="minor"/>
      </rPr>
      <t>(СЦЕПИТЬ)</t>
    </r>
  </si>
  <si>
    <t>Исходная строка</t>
  </si>
  <si>
    <t xml:space="preserve">       Арбузов       Антон       Алексеевич</t>
  </si>
  <si>
    <t xml:space="preserve">Воронов       Виктор      Васильевич     </t>
  </si>
  <si>
    <t xml:space="preserve">     Вишнева      Валентина    Викторовна</t>
  </si>
  <si>
    <t xml:space="preserve">   Дятлов    Даниил     Дмитриевич</t>
  </si>
  <si>
    <t xml:space="preserve"> Дынин   Дмитрий   Данилович  </t>
  </si>
  <si>
    <t xml:space="preserve">    Зайкина    Зинаида Захаровна   </t>
  </si>
  <si>
    <t xml:space="preserve">Лимонов   Леонид    Леонидович  </t>
  </si>
  <si>
    <t xml:space="preserve">  Мышкина    Марина    Максимовна  </t>
  </si>
  <si>
    <t xml:space="preserve">     Носорогов   Никита  Николаевич</t>
  </si>
  <si>
    <t xml:space="preserve">   Орлова   Ольга    Олеговна</t>
  </si>
  <si>
    <t xml:space="preserve">  Петухов    Платон     Петрович </t>
  </si>
  <si>
    <t xml:space="preserve">    Павианов    Павел   Петрович </t>
  </si>
  <si>
    <t xml:space="preserve">  Редькина    Рената     Руслановна  </t>
  </si>
  <si>
    <t xml:space="preserve">  Ромашкин      Роман   Русланович</t>
  </si>
  <si>
    <t xml:space="preserve"> Уткин    Устин   Устинович</t>
  </si>
  <si>
    <t xml:space="preserve">        Удодов   Ульрих   Уокерович  </t>
  </si>
  <si>
    <t xml:space="preserve">  Южная   Юлия   Юрьевна  </t>
  </si>
  <si>
    <t xml:space="preserve">  Яблоков   Яков   Яковлевич  </t>
  </si>
  <si>
    <t>Исходные данные</t>
  </si>
  <si>
    <r>
      <t xml:space="preserve">ФАМИЛИЯ ИМЯ ОТЧЕСТВО
</t>
    </r>
    <r>
      <rPr>
        <b/>
        <sz val="11"/>
        <color theme="0" tint="-0.499984740745262"/>
        <rFont val="Calibri"/>
        <family val="2"/>
        <charset val="204"/>
        <scheme val="minor"/>
      </rPr>
      <t>(ПРОПИСН)</t>
    </r>
  </si>
  <si>
    <r>
      <t xml:space="preserve">фамилия имя отчество
</t>
    </r>
    <r>
      <rPr>
        <b/>
        <sz val="11"/>
        <color theme="0" tint="-0.499984740745262"/>
        <rFont val="Calibri"/>
        <family val="2"/>
        <charset val="204"/>
        <scheme val="minor"/>
      </rPr>
      <t>(СТРОЧН)</t>
    </r>
  </si>
  <si>
    <r>
      <t xml:space="preserve">Фамилия Имя Отчество
</t>
    </r>
    <r>
      <rPr>
        <b/>
        <sz val="11"/>
        <color theme="0" tint="-0.499984740745262"/>
        <rFont val="Calibri"/>
        <family val="2"/>
        <charset val="204"/>
        <scheme val="minor"/>
      </rPr>
      <t>(ПРОПНАЧ)</t>
    </r>
  </si>
  <si>
    <t>арбузов АНТОН алексеевич</t>
  </si>
  <si>
    <t>воронов ВИКТОР васильевич</t>
  </si>
  <si>
    <t>вишнев ВАСИЛИЙ викторович</t>
  </si>
  <si>
    <t>дубов ДЕНИС давидович</t>
  </si>
  <si>
    <t>дынин ДАНИИЛ дмитриевич</t>
  </si>
  <si>
    <t>зайкина ЗИНАИДА захаровна</t>
  </si>
  <si>
    <t>лимонов ЛЕОНИД леонидович</t>
  </si>
  <si>
    <t>мышкин МАКСИМ михайлович</t>
  </si>
  <si>
    <t>орлов ОЛЕГ осипович</t>
  </si>
  <si>
    <t>овнова ОКСАНА олеговна</t>
  </si>
  <si>
    <t>петухов ПЛАТОН петрович</t>
  </si>
  <si>
    <t>птицина ПЕЛАГЕЯ платоновна</t>
  </si>
  <si>
    <t>павианов ПАВЕЛ петрович</t>
  </si>
  <si>
    <t>редькина РЕНАТА руслановна</t>
  </si>
  <si>
    <t>редькин РОМАН русланович</t>
  </si>
  <si>
    <t>степнов СЕРГЕЙ семенович</t>
  </si>
  <si>
    <t>турова ТАИСИЯ тихоновна</t>
  </si>
  <si>
    <t>уткин УСТИН устинович</t>
  </si>
  <si>
    <t>удодова УЛАНА умбертовна</t>
  </si>
  <si>
    <t>хомякова ХРИСТИНА харитоновна</t>
  </si>
  <si>
    <t>хлебов ХРИСТОФОР харламович</t>
  </si>
  <si>
    <t>хлебова ХИЛАРИ хановна</t>
  </si>
  <si>
    <t>яблокова ЯНА яковлевна</t>
  </si>
  <si>
    <t>Фамилия И.О.</t>
  </si>
  <si>
    <t>Цифры номера автомобиля</t>
  </si>
  <si>
    <t>Буквы номера автомобиля</t>
  </si>
  <si>
    <t>С101ОС</t>
  </si>
  <si>
    <t>М707НУ</t>
  </si>
  <si>
    <t>Фамилия Имя Дата заказа-Код заказа</t>
  </si>
  <si>
    <t>Дата</t>
  </si>
  <si>
    <t>Регион</t>
  </si>
  <si>
    <t>Арбузова Анна 24.04.2017-kzn31</t>
  </si>
  <si>
    <t>Воронова Вера 09.04.2017-kzn42</t>
  </si>
  <si>
    <t>Дятлов Даниил 22.05.2017-kzn03</t>
  </si>
  <si>
    <t>Дынин Дмитрий 28.05.2017-kzn14</t>
  </si>
  <si>
    <t>Дятлова Дина 14.04.2017-kzn55</t>
  </si>
  <si>
    <t>Зайкин Захар 19.04.2017-kzn76</t>
  </si>
  <si>
    <t>Лимонова Лариса 15.04.2017-kzn07</t>
  </si>
  <si>
    <t>Мышкин Максим 22.05.2017-msk61</t>
  </si>
  <si>
    <t>Орлов Олег 16.05.2017-msk02</t>
  </si>
  <si>
    <t>Петухов Платон 08.05.2017-msk33</t>
  </si>
  <si>
    <t>Перцева Полина 03.04.2017-msk95</t>
  </si>
  <si>
    <t>Птицин Петр 03.05.2017-msk28</t>
  </si>
  <si>
    <t>Павианов Платон 23.04.2017-msk20</t>
  </si>
  <si>
    <t>Редькина Рената 12.05.2017-msk77</t>
  </si>
  <si>
    <t>Степнов Сергей 22.05.2017-msk14</t>
  </si>
  <si>
    <t>Турова Таисия 01.05.2017-msk09</t>
  </si>
  <si>
    <t>Удодов Ульрих 27.05.2017-spb85</t>
  </si>
  <si>
    <t>Хомякова Христина 15.04.2017-spb97</t>
  </si>
  <si>
    <t>Хлебов Христофор 04.05.2017-spb03</t>
  </si>
  <si>
    <t>Южный Юрий 14.04.2017-spb40</t>
  </si>
  <si>
    <t>Яблокова Яна 24.04.2017-spb05</t>
  </si>
  <si>
    <t>Яблоков Яков 26.04.2017-spb66</t>
  </si>
  <si>
    <t>Дата приема</t>
  </si>
  <si>
    <t>Комментарий</t>
  </si>
  <si>
    <t>Справка</t>
  </si>
  <si>
    <t>Full Name</t>
  </si>
  <si>
    <t>e-mail</t>
  </si>
  <si>
    <t>Тел</t>
  </si>
  <si>
    <t>Телефон</t>
  </si>
  <si>
    <t>Ромашкин ПЕТР Осипович М</t>
  </si>
  <si>
    <t>Бухгалтер</t>
  </si>
  <si>
    <t>оформ. 22.08.2011 в ФИН004</t>
  </si>
  <si>
    <t>Romashkin Petr Osipovich</t>
  </si>
  <si>
    <t>Хомяков Денис СЕМЕНОВИЧ М</t>
  </si>
  <si>
    <t>принят17.01.1999 в ФИН004</t>
  </si>
  <si>
    <t>Homyakov Denis Semenovich</t>
  </si>
  <si>
    <t>Мышкин Тимофей Петрович М</t>
  </si>
  <si>
    <t>Генеральный директор</t>
  </si>
  <si>
    <t>дата приема 17.08.2007 в АДМ001</t>
  </si>
  <si>
    <t>Myshkin Timofej Petrovich</t>
  </si>
  <si>
    <t>Удодов Леонид Николаевич М</t>
  </si>
  <si>
    <t>Главный бухгалтер</t>
  </si>
  <si>
    <t>20.03.2014 прием в ФИН004</t>
  </si>
  <si>
    <t>Udodov Leonid Nikolaevich</t>
  </si>
  <si>
    <t>Мышкина МАРИНА Платоновна Ж</t>
  </si>
  <si>
    <t>Коммерческий директор</t>
  </si>
  <si>
    <t>02.04.1999 оформление в АДМ001</t>
  </si>
  <si>
    <t>Myshkina Marina Platonovna</t>
  </si>
  <si>
    <t>Вишнева Юлия Харитоновна Ж</t>
  </si>
  <si>
    <t>Менеджер</t>
  </si>
  <si>
    <t>оформлена 05.09.1997 в ОТД007</t>
  </si>
  <si>
    <t>Vishneva Yuliya Haritonovna</t>
  </si>
  <si>
    <t>ЯБЛОКОВ Василий Юрьевич М</t>
  </si>
  <si>
    <t>оформлен прием 02.04.2012 в ЛОГ003</t>
  </si>
  <si>
    <t>Yablokov Vasilij Yurevich</t>
  </si>
  <si>
    <t>Дынина Рената Тихоновна Ж</t>
  </si>
  <si>
    <t>Начальник отдела</t>
  </si>
  <si>
    <t>08.11.2006 сотрудник оформлен в ОТД007</t>
  </si>
  <si>
    <t>Dynina Renata Tihonovna</t>
  </si>
  <si>
    <t>лимонов ульрих васильевич М</t>
  </si>
  <si>
    <t>принят 01.06.2007 в ЛОГ003</t>
  </si>
  <si>
    <t>Limonov Ulrih Vasilevich</t>
  </si>
  <si>
    <t>ВИШНЕВ Яков Леонтьевич М</t>
  </si>
  <si>
    <t>Специалист</t>
  </si>
  <si>
    <t>22.03.1999 оформление в ЛОГ003</t>
  </si>
  <si>
    <t>Vishnev Yakov Leontevich</t>
  </si>
  <si>
    <t>Птицин Роман Дмитриевич М</t>
  </si>
  <si>
    <t>дата приема на работу 19.04.2006 в ЛОГ003</t>
  </si>
  <si>
    <t>Pticin Roman Dmitrievich</t>
  </si>
  <si>
    <t>Рогов Платон Романович М</t>
  </si>
  <si>
    <t>дата приема в отдел 07.06.1996 в ЛОГ003</t>
  </si>
  <si>
    <t>Rogov Platon Romanovich</t>
  </si>
  <si>
    <t>СТЕПНОВ Павел Давидович М</t>
  </si>
  <si>
    <t>прием дата оформления 05.08.1998 в ОТД007</t>
  </si>
  <si>
    <t>Stepnov Pavel Davidovich</t>
  </si>
  <si>
    <t>Южный Станислав Трофимович М</t>
  </si>
  <si>
    <t>Финансовый директор</t>
  </si>
  <si>
    <t>04.09.1996 дата в АДМ001</t>
  </si>
  <si>
    <t>Yuzhnyj Stanislav Trofimovich</t>
  </si>
  <si>
    <t>* СЕГОДНЯ</t>
  </si>
  <si>
    <t>* РАБДЕНЬ</t>
  </si>
  <si>
    <t>* ЧИСТРАБДНИ</t>
  </si>
  <si>
    <t>* ДОЛЯГОДА</t>
  </si>
  <si>
    <t>СЕГОДНЯ</t>
  </si>
  <si>
    <t>ЗАВТРА</t>
  </si>
  <si>
    <t>ВЧЕРА</t>
  </si>
  <si>
    <t>Номер заказа</t>
  </si>
  <si>
    <t>Дата оформления</t>
  </si>
  <si>
    <t>Дата изготовления</t>
  </si>
  <si>
    <t>Дата доставки</t>
  </si>
  <si>
    <t>Праздники</t>
  </si>
  <si>
    <t>GOV 001</t>
  </si>
  <si>
    <t>GOV 002</t>
  </si>
  <si>
    <t>GOV 003</t>
  </si>
  <si>
    <t>GOV 004</t>
  </si>
  <si>
    <t>GOV 005</t>
  </si>
  <si>
    <t>GOV 006</t>
  </si>
  <si>
    <t>GOV 007</t>
  </si>
  <si>
    <t>GOV 008</t>
  </si>
  <si>
    <t>GOV 009</t>
  </si>
  <si>
    <t>GOV 010</t>
  </si>
  <si>
    <t>Календарь проекта</t>
  </si>
  <si>
    <t>№ п/п</t>
  </si>
  <si>
    <t>Название проекта</t>
  </si>
  <si>
    <t>Дата начала</t>
  </si>
  <si>
    <t>Дата окончания</t>
  </si>
  <si>
    <t>Длительность, календарные дни</t>
  </si>
  <si>
    <t>Длительность, рабочие дни</t>
  </si>
  <si>
    <t>Предварительная встреча</t>
  </si>
  <si>
    <t>Разработка анкеты</t>
  </si>
  <si>
    <t>Печать и рассылка анкеты</t>
  </si>
  <si>
    <t>Сбор данных по анкетированию</t>
  </si>
  <si>
    <t>Обработка данных по анкетированию</t>
  </si>
  <si>
    <t>Анализ данных по анкетированию</t>
  </si>
  <si>
    <t>Формирование отчета по проекту</t>
  </si>
  <si>
    <t>Согласование проекта отчета</t>
  </si>
  <si>
    <t>Получение замечаний по отчету</t>
  </si>
  <si>
    <t>Корректировака отчета</t>
  </si>
  <si>
    <t>Рассылка отчета</t>
  </si>
  <si>
    <t>Подведение итогов</t>
  </si>
  <si>
    <t>Возраст сотрудников</t>
  </si>
  <si>
    <t>Дата рождения</t>
  </si>
  <si>
    <t>Возраст</t>
  </si>
  <si>
    <t>Цена, р</t>
  </si>
  <si>
    <t>Было, р</t>
  </si>
  <si>
    <t>Осталось, р</t>
  </si>
  <si>
    <t>Потрачено, р</t>
  </si>
  <si>
    <t>Сумма, р</t>
  </si>
  <si>
    <t>Женщин в группе</t>
  </si>
  <si>
    <t>Мужчин в группе</t>
  </si>
  <si>
    <t>Всего в группе</t>
  </si>
  <si>
    <t>Код проекта</t>
  </si>
  <si>
    <t>12-001</t>
  </si>
  <si>
    <t>12-002</t>
  </si>
  <si>
    <t>12-003</t>
  </si>
  <si>
    <t>12-004</t>
  </si>
  <si>
    <t>12-005</t>
  </si>
  <si>
    <t>12-006</t>
  </si>
  <si>
    <t>12-007</t>
  </si>
  <si>
    <t>12-008</t>
  </si>
  <si>
    <t>12-009</t>
  </si>
  <si>
    <t>12-010</t>
  </si>
  <si>
    <t>12-011</t>
  </si>
  <si>
    <t>12-012</t>
  </si>
  <si>
    <t>12-013</t>
  </si>
  <si>
    <t>12-014</t>
  </si>
  <si>
    <t>12-015</t>
  </si>
  <si>
    <t>12-016</t>
  </si>
  <si>
    <t>12-017</t>
  </si>
  <si>
    <t>12-018</t>
  </si>
  <si>
    <t>12-019</t>
  </si>
  <si>
    <t>12-020</t>
  </si>
  <si>
    <t>12-021</t>
  </si>
  <si>
    <t>12-022</t>
  </si>
  <si>
    <t>12-023</t>
  </si>
  <si>
    <t>12-024</t>
  </si>
  <si>
    <t>12-025</t>
  </si>
  <si>
    <t>12-026</t>
  </si>
  <si>
    <t>12-027</t>
  </si>
  <si>
    <t>12-028</t>
  </si>
  <si>
    <t>12-029</t>
  </si>
  <si>
    <t>12-030</t>
  </si>
  <si>
    <t>12-031</t>
  </si>
  <si>
    <t>12-032</t>
  </si>
  <si>
    <t>12-033</t>
  </si>
  <si>
    <t>12-034</t>
  </si>
  <si>
    <t>* Циклическая ссылка</t>
  </si>
  <si>
    <t>* Зависимости формул</t>
  </si>
  <si>
    <t>Аргумент 1</t>
  </si>
  <si>
    <t>Аргумент 2</t>
  </si>
  <si>
    <t>Аргумент 3</t>
  </si>
  <si>
    <t>Ошибки</t>
  </si>
  <si>
    <t>бесплатно</t>
  </si>
  <si>
    <t>курс</t>
  </si>
  <si>
    <t>таблица умножения</t>
  </si>
  <si>
    <t>=СУММ(C6:E6)</t>
  </si>
  <si>
    <t>целое</t>
  </si>
  <si>
    <t>выполнено</t>
  </si>
  <si>
    <t>Округление</t>
  </si>
  <si>
    <t>Счет и среднее по условию</t>
  </si>
  <si>
    <t>Сумма по условию</t>
  </si>
  <si>
    <t>ВПР</t>
  </si>
  <si>
    <t>ВПР начало</t>
  </si>
  <si>
    <t>Кол-во новых комплектов</t>
  </si>
  <si>
    <t>Логические ф-ц ЕСЛИ</t>
  </si>
  <si>
    <t>Логические ф-ц И</t>
  </si>
  <si>
    <t>Логические ф-ц ЕСЛИ+ЕСЛИ</t>
  </si>
  <si>
    <t>Логические</t>
  </si>
  <si>
    <t>Воронова Вера Васильевна</t>
  </si>
  <si>
    <t>Вишнев Василий Викторович</t>
  </si>
  <si>
    <t>Дроздова Дарья Дмитриевна</t>
  </si>
  <si>
    <t>Дятлова Дина Дмитриевна</t>
  </si>
  <si>
    <t>Рогов Руслан Романович</t>
  </si>
  <si>
    <t>Степнов Сергей Семенович</t>
  </si>
  <si>
    <t>Южный Юрий Юрьевич</t>
  </si>
  <si>
    <t>Дубов Денис Давидович</t>
  </si>
  <si>
    <t>Турова Таисия Тихоновна</t>
  </si>
  <si>
    <t>Удодова Улана Умбертовна</t>
  </si>
  <si>
    <t>Хомякова Христина Харитоновна</t>
  </si>
  <si>
    <t>Хлебов Христофор Харламович</t>
  </si>
  <si>
    <t>Яблокова Яна Яковлевна</t>
  </si>
  <si>
    <t>Работа с регистром</t>
  </si>
  <si>
    <t>454</t>
  </si>
  <si>
    <t>858</t>
  </si>
  <si>
    <t>909</t>
  </si>
  <si>
    <t>222</t>
  </si>
  <si>
    <t>555</t>
  </si>
  <si>
    <t>333</t>
  </si>
  <si>
    <t>656</t>
  </si>
  <si>
    <t>101</t>
  </si>
  <si>
    <t>757</t>
  </si>
  <si>
    <t>303</t>
  </si>
  <si>
    <t>707</t>
  </si>
  <si>
    <t>777</t>
  </si>
  <si>
    <t>100</t>
  </si>
  <si>
    <t>278</t>
  </si>
  <si>
    <t>Вытаскивание символов</t>
  </si>
  <si>
    <t>kzn31</t>
  </si>
  <si>
    <t>kzn42</t>
  </si>
  <si>
    <t>kzn03</t>
  </si>
  <si>
    <t>kzn14</t>
  </si>
  <si>
    <t>kzn55</t>
  </si>
  <si>
    <t>kzn76</t>
  </si>
  <si>
    <t>kzn07</t>
  </si>
  <si>
    <t>msk61</t>
  </si>
  <si>
    <t>msk02</t>
  </si>
  <si>
    <t>msk33</t>
  </si>
  <si>
    <t>msk95</t>
  </si>
  <si>
    <t>msk28</t>
  </si>
  <si>
    <t>msk20</t>
  </si>
  <si>
    <t>msk77</t>
  </si>
  <si>
    <t>msk14</t>
  </si>
  <si>
    <t>msk09</t>
  </si>
  <si>
    <t>spb85</t>
  </si>
  <si>
    <t>spb97</t>
  </si>
  <si>
    <t>spb03</t>
  </si>
  <si>
    <t>spb40</t>
  </si>
  <si>
    <t>spb05</t>
  </si>
  <si>
    <t>spb66</t>
  </si>
  <si>
    <t>kzn</t>
  </si>
  <si>
    <t>msk</t>
  </si>
  <si>
    <t>spb</t>
  </si>
  <si>
    <t>Текст по разделителям</t>
  </si>
  <si>
    <t>Фиксированная ширина</t>
  </si>
  <si>
    <t>Текст по столбцам</t>
  </si>
  <si>
    <t>Мгновенное заполнение</t>
  </si>
  <si>
    <t>всё БОЛЬШИМИ буквами</t>
  </si>
  <si>
    <t>ВСЁ маленькими БУКВАМИ</t>
  </si>
  <si>
    <t>РабДень</t>
  </si>
  <si>
    <t>Сегодня</t>
  </si>
  <si>
    <t>Текущая дата и операции с ней</t>
  </si>
  <si>
    <t>Операции с датами</t>
  </si>
  <si>
    <t>Операции с датами и вычисление рабочих дней</t>
  </si>
  <si>
    <t>Вычисление календарных дней</t>
  </si>
  <si>
    <t>Количество рабочих дней</t>
  </si>
  <si>
    <t>вычисления количества дней</t>
  </si>
  <si>
    <t>Вычисление кол-ва лет</t>
  </si>
  <si>
    <t>Общая цена</t>
  </si>
  <si>
    <t>Цена, р
1 товар</t>
  </si>
  <si>
    <t>Цена, р
2 товар</t>
  </si>
  <si>
    <t>KPI на основе обучающих заданий</t>
  </si>
  <si>
    <t>KPI на основе самостоятельных заданий</t>
  </si>
  <si>
    <t>общее количество заданий:</t>
  </si>
  <si>
    <t>Имена в эксель</t>
  </si>
  <si>
    <t>Математические функции</t>
  </si>
  <si>
    <t>Ссылки и массивы</t>
  </si>
  <si>
    <t>Логические фукнции</t>
  </si>
  <si>
    <t>Текстовые функции</t>
  </si>
  <si>
    <t>Функции даты</t>
  </si>
  <si>
    <t>Виды ошибок в эксель</t>
  </si>
  <si>
    <t>Все задания</t>
  </si>
  <si>
    <t>ур1</t>
  </si>
  <si>
    <t>ур2</t>
  </si>
  <si>
    <t>ур3</t>
  </si>
  <si>
    <t>Имена в экселе</t>
  </si>
  <si>
    <t>Виды ошибок в экселе</t>
  </si>
  <si>
    <t>Относительная ссылка</t>
  </si>
  <si>
    <t>Смешанная ссылка 1</t>
  </si>
  <si>
    <t>Смешанная ссылка 2</t>
  </si>
  <si>
    <t>Смешанная ссылка 3</t>
  </si>
  <si>
    <t>Сумма окладов</t>
  </si>
  <si>
    <t>рожденных с 1980 по 1985 г. вкл.</t>
  </si>
  <si>
    <t>отдела ОТД с окладом свыше 5000€</t>
  </si>
  <si>
    <t>Сумма и счет по условию</t>
  </si>
  <si>
    <t>Масса груза, г</t>
  </si>
  <si>
    <t>2015#01</t>
  </si>
  <si>
    <t>2015#02</t>
  </si>
  <si>
    <t>2015#03</t>
  </si>
  <si>
    <t>2015#04</t>
  </si>
  <si>
    <t>2015#05</t>
  </si>
  <si>
    <t>2015#06</t>
  </si>
  <si>
    <t>2015#07</t>
  </si>
  <si>
    <t>2015#08</t>
  </si>
  <si>
    <t>2015#09</t>
  </si>
  <si>
    <t>2015#10</t>
  </si>
  <si>
    <t>2015#11</t>
  </si>
  <si>
    <t>2015#12</t>
  </si>
  <si>
    <t>2015#13</t>
  </si>
  <si>
    <t>2015#14</t>
  </si>
  <si>
    <t>2015#15</t>
  </si>
  <si>
    <t>1 задание</t>
  </si>
  <si>
    <t>2 задание</t>
  </si>
  <si>
    <t>ВПР точный</t>
  </si>
  <si>
    <t>ВПР приблизительный</t>
  </si>
  <si>
    <t xml:space="preserve">Логические </t>
  </si>
  <si>
    <t>Доплата, р для 4-ой смены</t>
  </si>
  <si>
    <t>Доплата, р для работ 1 или 3 смены</t>
  </si>
  <si>
    <t>Доплата1</t>
  </si>
  <si>
    <t>Доплата2</t>
  </si>
  <si>
    <t>Если + и</t>
  </si>
  <si>
    <t>Если + или</t>
  </si>
  <si>
    <t>Если + Если</t>
  </si>
  <si>
    <t>Если</t>
  </si>
  <si>
    <t>Ромашкин оформл. в 2011 году в отдел ФИН на должность Бухгалтер</t>
  </si>
  <si>
    <t>Календарные дни</t>
  </si>
  <si>
    <t>Рабочие</t>
  </si>
  <si>
    <t>Выходной</t>
  </si>
  <si>
    <t>ДЗ 7 работа с датой</t>
  </si>
  <si>
    <t>ДЗ 6 работа с текстом</t>
  </si>
  <si>
    <t>ДЗ 5 логические ф-ц</t>
  </si>
  <si>
    <t>ДЗ 8 устранение ошибок</t>
  </si>
  <si>
    <t>ДЗ 4 ВПР</t>
  </si>
  <si>
    <t>ДЗ 2 имена</t>
  </si>
  <si>
    <t>ДЗ 3 математические ф-ц</t>
  </si>
  <si>
    <t>Общие критерии</t>
  </si>
  <si>
    <t>категорически нет</t>
  </si>
  <si>
    <t>Оценка содержания программы</t>
  </si>
  <si>
    <t>Содержит ли тенденции для решения практических задач?</t>
  </si>
  <si>
    <t>Содержится ли новизна в предоставляемом материале?</t>
  </si>
  <si>
    <t>Оценка качества полученных умений и навыков</t>
  </si>
  <si>
    <t>Оценка компетентности преподавателя</t>
  </si>
  <si>
    <t>Владение преподаваемым материалом</t>
  </si>
  <si>
    <t>Оценка излагания материала</t>
  </si>
  <si>
    <t>Уровень мотивации и поддержки слушателей</t>
  </si>
  <si>
    <t>Владение материалом</t>
  </si>
  <si>
    <t>Желание помочь в решении задач</t>
  </si>
  <si>
    <t>Оценка условий обучения</t>
  </si>
  <si>
    <t>Доступность</t>
  </si>
  <si>
    <t>Взаимодействие по электронным каналам связи</t>
  </si>
  <si>
    <t>Оснащение рабочих классов</t>
  </si>
  <si>
    <t>График проведения занятий</t>
  </si>
  <si>
    <t>Качество администрирования</t>
  </si>
  <si>
    <t>Переход 1</t>
  </si>
  <si>
    <t>Переход 2</t>
  </si>
  <si>
    <t>Переход 3</t>
  </si>
  <si>
    <t>Выполнение домашних заданий</t>
  </si>
  <si>
    <t>Доля пройденного слушателем учебного материала</t>
  </si>
  <si>
    <t>Итог оценки 1/2 курса "Эксель II"</t>
  </si>
  <si>
    <t>Индекс удовлетворенности 1/2 курса Эксель II</t>
  </si>
  <si>
    <t>! ВНИМАНИЕ Не зыбывайте сохранять свой файл</t>
  </si>
  <si>
    <t xml:space="preserve"> Москва</t>
  </si>
  <si>
    <t>В долл по курсу</t>
  </si>
  <si>
    <t>Смешанные ссылки+ссылки на др.книги</t>
  </si>
  <si>
    <t>Операторы, ссылки и связи</t>
  </si>
  <si>
    <t>ДЗ 1 ссылки и вычисления</t>
  </si>
  <si>
    <t>НОВПроцентПремии</t>
  </si>
  <si>
    <t>Суть работы параметра РЕЖИМ</t>
  </si>
  <si>
    <t>в ОКРВВЕРХ.МАТ</t>
  </si>
  <si>
    <t>* СЧЁТЗ</t>
  </si>
  <si>
    <t>* СРЗНАЧ</t>
  </si>
  <si>
    <t xml:space="preserve">Джинджир Голд Яблоки </t>
  </si>
  <si>
    <t>ВПР по годам / Если ошибка</t>
  </si>
  <si>
    <t>Режим 1</t>
  </si>
  <si>
    <t>Режим 0 (используется по умолчанию)</t>
  </si>
  <si>
    <t>а) от центральной ячейки другие зависят</t>
  </si>
  <si>
    <t>б) на центральную ячейку влияют другие</t>
  </si>
  <si>
    <t>а)</t>
  </si>
  <si>
    <t>б)</t>
  </si>
  <si>
    <t>Операторы, ссылки и связи в эксель</t>
  </si>
  <si>
    <t>налог</t>
  </si>
  <si>
    <t>операторы в эксель, роль смешанных ссылок, именованные ячейки и диапазоны, основные категории функций (математические, логические, функции даты, текста, ссылки и массивы), виды и причины возникновения ошибок</t>
  </si>
  <si>
    <t>АМР</t>
  </si>
  <si>
    <t>ВОР</t>
  </si>
  <si>
    <t>АСР</t>
  </si>
  <si>
    <t>МММ</t>
  </si>
  <si>
    <t>ТУТ</t>
  </si>
  <si>
    <t>ТАМ</t>
  </si>
  <si>
    <t>СОС</t>
  </si>
  <si>
    <t>КОТ</t>
  </si>
  <si>
    <t>МРУ</t>
  </si>
  <si>
    <t>МНУ</t>
  </si>
  <si>
    <t>ООО</t>
  </si>
  <si>
    <t>ААА</t>
  </si>
  <si>
    <t>НОХ</t>
  </si>
  <si>
    <t>РОТ</t>
  </si>
  <si>
    <t>РСХ</t>
  </si>
  <si>
    <t>ЕОС</t>
  </si>
  <si>
    <t>Работа с текстом (лев и прав симв + &amp;)</t>
  </si>
  <si>
    <r>
      <t xml:space="preserve">Всех </t>
    </r>
    <r>
      <rPr>
        <b/>
        <sz val="11"/>
        <rFont val="Calibri"/>
        <family val="2"/>
        <charset val="204"/>
        <scheme val="minor"/>
      </rPr>
      <t>яблок (КГ)</t>
    </r>
    <r>
      <rPr>
        <sz val="11"/>
        <rFont val="Calibri"/>
        <family val="2"/>
        <charset val="204"/>
        <scheme val="minor"/>
      </rPr>
      <t xml:space="preserve">, где в упаковке </t>
    </r>
    <r>
      <rPr>
        <b/>
        <sz val="11"/>
        <rFont val="Calibri"/>
        <family val="2"/>
        <charset val="204"/>
        <scheme val="minor"/>
      </rPr>
      <t>не менее 20 шт</t>
    </r>
    <r>
      <rPr>
        <sz val="11"/>
        <rFont val="Calibri"/>
        <family val="2"/>
        <charset val="204"/>
        <scheme val="minor"/>
      </rPr>
      <t xml:space="preserve"> </t>
    </r>
  </si>
  <si>
    <t>Образец справки</t>
  </si>
  <si>
    <t>Запрплата в текст формате</t>
  </si>
  <si>
    <t>55000 руб</t>
  </si>
  <si>
    <t>150000 руб</t>
  </si>
  <si>
    <t>100000 руб</t>
  </si>
  <si>
    <t>40000 тысяч рублей</t>
  </si>
  <si>
    <t>90000 тысяч рублей</t>
  </si>
  <si>
    <t>90000 т.р.</t>
  </si>
  <si>
    <t>95000 т.р.</t>
  </si>
  <si>
    <t>50000 тр</t>
  </si>
  <si>
    <t>8(903)546-40-96</t>
  </si>
  <si>
    <t>8(966)124-35-99</t>
  </si>
  <si>
    <t>8(499)267-00-85</t>
  </si>
  <si>
    <t>8(903)877-06-77</t>
  </si>
  <si>
    <t>8(925)370-06-76</t>
  </si>
  <si>
    <t>8(901)896-95-89</t>
  </si>
  <si>
    <t>8(495)222-70-07</t>
  </si>
  <si>
    <t>8(903)546-41-05</t>
  </si>
  <si>
    <t>8(495)226-76-23</t>
  </si>
  <si>
    <t>8(966)588-56-23</t>
  </si>
  <si>
    <t>8(499)555-33-22</t>
  </si>
  <si>
    <t>Запрплата (только число)</t>
  </si>
  <si>
    <t>vchmel@edubmstu.ru</t>
  </si>
  <si>
    <r>
      <t xml:space="preserve">Вкладка </t>
    </r>
    <r>
      <rPr>
        <b/>
        <sz val="11"/>
        <color theme="1"/>
        <rFont val="Calibri"/>
        <family val="2"/>
        <charset val="204"/>
        <scheme val="minor"/>
      </rPr>
      <t>ФОРМУЛЫ</t>
    </r>
  </si>
  <si>
    <r>
      <t xml:space="preserve">Вкладка </t>
    </r>
    <r>
      <rPr>
        <b/>
        <sz val="11"/>
        <color theme="1"/>
        <rFont val="Calibri"/>
        <family val="2"/>
        <charset val="204"/>
        <scheme val="minor"/>
      </rPr>
      <t>Данные</t>
    </r>
  </si>
  <si>
    <t>возникает, когда поисковая ф-ц, к примеру</t>
  </si>
  <si>
    <r>
      <t xml:space="preserve">Также не забывайте про ошибку </t>
    </r>
    <r>
      <rPr>
        <b/>
        <sz val="11"/>
        <color theme="1"/>
        <rFont val="Calibri"/>
        <family val="2"/>
        <charset val="204"/>
        <scheme val="minor"/>
      </rPr>
      <t>Н/Д</t>
    </r>
    <r>
      <rPr>
        <sz val="11"/>
        <color theme="1"/>
        <rFont val="Calibri"/>
        <family val="2"/>
        <scheme val="minor"/>
      </rPr>
      <t>, она</t>
    </r>
  </si>
  <si>
    <t>ВПР, не находит совпадения по значению из</t>
  </si>
  <si>
    <t xml:space="preserve">одной таблицы, в другой таблице </t>
  </si>
  <si>
    <t>ТДАТА</t>
  </si>
  <si>
    <t>Средние значения окладов, €:</t>
  </si>
  <si>
    <t>Чмель Виктор Иванович</t>
  </si>
  <si>
    <t>Данный курс направлен на изучение приложения Microsoft Excel на уровне СПЕЦИАЛИСТА, в рамках курса вы изучите:</t>
  </si>
  <si>
    <t>Время</t>
  </si>
  <si>
    <t>Завтра и вчера</t>
  </si>
  <si>
    <r>
      <t xml:space="preserve">На вкладке </t>
    </r>
    <r>
      <rPr>
        <b/>
        <sz val="14"/>
        <color theme="1"/>
        <rFont val="Calibri"/>
        <family val="2"/>
        <charset val="204"/>
        <scheme val="minor"/>
      </rPr>
      <t>ФОРМУЛЫ</t>
    </r>
  </si>
  <si>
    <r>
      <t xml:space="preserve">Группе </t>
    </r>
    <r>
      <rPr>
        <i/>
        <sz val="14"/>
        <color theme="1"/>
        <rFont val="Calibri"/>
        <family val="2"/>
        <charset val="204"/>
        <scheme val="minor"/>
      </rPr>
      <t>Зависимости формул</t>
    </r>
  </si>
  <si>
    <t>Есть команда</t>
  </si>
  <si>
    <t>Она помогает посмотреть этапы вычисления</t>
  </si>
  <si>
    <t>формулы</t>
  </si>
  <si>
    <r>
      <rPr>
        <b/>
        <sz val="11"/>
        <rFont val="Calibri"/>
        <family val="2"/>
        <charset val="204"/>
        <scheme val="minor"/>
      </rPr>
      <t>Кг</t>
    </r>
    <r>
      <rPr>
        <sz val="11"/>
        <rFont val="Calibri"/>
        <family val="2"/>
        <charset val="204"/>
        <scheme val="minor"/>
      </rPr>
      <t xml:space="preserve"> - </t>
    </r>
    <r>
      <rPr>
        <i/>
        <sz val="11"/>
        <rFont val="Calibri"/>
        <family val="2"/>
        <charset val="204"/>
        <scheme val="minor"/>
      </rPr>
      <t>то, что суммируем</t>
    </r>
    <r>
      <rPr>
        <sz val="11"/>
        <rFont val="Calibri"/>
        <family val="2"/>
        <charset val="204"/>
        <scheme val="minor"/>
      </rPr>
      <t xml:space="preserve">, </t>
    </r>
    <r>
      <rPr>
        <b/>
        <sz val="11"/>
        <rFont val="Calibri"/>
        <family val="2"/>
        <charset val="204"/>
        <scheme val="minor"/>
      </rPr>
      <t>Яблок</t>
    </r>
    <r>
      <rPr>
        <sz val="11"/>
        <rFont val="Calibri"/>
        <family val="2"/>
        <charset val="204"/>
        <scheme val="minor"/>
      </rPr>
      <t xml:space="preserve"> и </t>
    </r>
    <r>
      <rPr>
        <b/>
        <sz val="11"/>
        <rFont val="Calibri"/>
        <family val="2"/>
        <charset val="204"/>
        <scheme val="minor"/>
      </rPr>
      <t>Упаковка не менее 20</t>
    </r>
    <r>
      <rPr>
        <sz val="11"/>
        <rFont val="Calibri"/>
        <family val="2"/>
        <charset val="204"/>
        <scheme val="minor"/>
      </rPr>
      <t xml:space="preserve"> - </t>
    </r>
    <r>
      <rPr>
        <i/>
        <sz val="11"/>
        <rFont val="Calibri"/>
        <family val="2"/>
        <charset val="204"/>
        <scheme val="minor"/>
      </rPr>
      <t>критерии условия</t>
    </r>
  </si>
  <si>
    <r>
      <rPr>
        <b/>
        <sz val="11"/>
        <color theme="1"/>
        <rFont val="Calibri"/>
        <family val="2"/>
        <charset val="204"/>
        <scheme val="minor"/>
      </rPr>
      <t>Диапазоны</t>
    </r>
    <r>
      <rPr>
        <sz val="11"/>
        <color theme="1"/>
        <rFont val="Calibri"/>
        <family val="2"/>
        <scheme val="minor"/>
      </rPr>
      <t xml:space="preserve"> НАИМЕНОВАНИЯ и УПАКОВКА - </t>
    </r>
    <r>
      <rPr>
        <i/>
        <sz val="11"/>
        <color theme="1"/>
        <rFont val="Calibri"/>
        <family val="2"/>
        <charset val="204"/>
        <scheme val="minor"/>
      </rPr>
      <t>диапазоны условий</t>
    </r>
  </si>
  <si>
    <t>Оно находится на вкладке ДАННЫЕ, в группе ПОДКЛЮЧЕНИЯ</t>
  </si>
  <si>
    <t>Кстати, если в Вашей книге есть связи с другими книгами, Вы всегда можете открыть это окно в любой момент</t>
  </si>
  <si>
    <r>
      <t xml:space="preserve">Кнопка </t>
    </r>
    <r>
      <rPr>
        <b/>
        <i/>
        <sz val="11"/>
        <color theme="1"/>
        <rFont val="Calibri"/>
        <family val="2"/>
        <charset val="204"/>
        <scheme val="minor"/>
      </rPr>
      <t xml:space="preserve">открыть </t>
    </r>
    <r>
      <rPr>
        <i/>
        <sz val="11"/>
        <color theme="1"/>
        <rFont val="Calibri"/>
        <family val="2"/>
        <charset val="204"/>
        <scheme val="minor"/>
      </rPr>
      <t>приведет к отрытию источника, на который ссылается Ваша книга</t>
    </r>
  </si>
  <si>
    <r>
      <t xml:space="preserve">Кнопка </t>
    </r>
    <r>
      <rPr>
        <b/>
        <i/>
        <sz val="11"/>
        <color theme="1"/>
        <rFont val="Calibri"/>
        <family val="2"/>
        <charset val="204"/>
        <scheme val="minor"/>
      </rPr>
      <t>разорвать связь</t>
    </r>
    <r>
      <rPr>
        <i/>
        <sz val="11"/>
        <color theme="1"/>
        <rFont val="Calibri"/>
        <family val="2"/>
        <charset val="204"/>
        <scheme val="minor"/>
      </rPr>
      <t xml:space="preserve"> приведет к тому, что связь будет удалена, вместо ссылок останутся</t>
    </r>
  </si>
  <si>
    <r>
      <t xml:space="preserve">Кнопка </t>
    </r>
    <r>
      <rPr>
        <b/>
        <i/>
        <sz val="11"/>
        <color theme="1"/>
        <rFont val="Calibri"/>
        <family val="2"/>
        <charset val="204"/>
        <scheme val="minor"/>
      </rPr>
      <t>обновить</t>
    </r>
    <r>
      <rPr>
        <i/>
        <sz val="11"/>
        <color theme="1"/>
        <rFont val="Calibri"/>
        <family val="2"/>
        <charset val="204"/>
        <scheme val="minor"/>
      </rPr>
      <t xml:space="preserve">приведет к обновлению данных </t>
    </r>
  </si>
  <si>
    <t>(с учетом тех, что в данный момент имеются в книге, на которую ссылается Ваша текущая книга)</t>
  </si>
  <si>
    <t>просто данные в ячейках, которые уже нельзя будет обновить</t>
  </si>
  <si>
    <t>Подробнее о связях книг</t>
  </si>
  <si>
    <t>Назад</t>
  </si>
  <si>
    <r>
      <t xml:space="preserve">Полученные </t>
    </r>
    <r>
      <rPr>
        <b/>
        <sz val="12"/>
        <color theme="1"/>
        <rFont val="Calibri"/>
        <family val="2"/>
        <charset val="204"/>
        <scheme val="minor"/>
      </rPr>
      <t>положительные результаты</t>
    </r>
    <r>
      <rPr>
        <sz val="12"/>
        <color theme="1"/>
        <rFont val="Calibri"/>
        <family val="2"/>
        <charset val="204"/>
        <scheme val="minor"/>
      </rPr>
      <t xml:space="preserve"> - деталей стало больше</t>
    </r>
  </si>
  <si>
    <r>
      <t xml:space="preserve">Полученные </t>
    </r>
    <r>
      <rPr>
        <b/>
        <sz val="12"/>
        <color theme="1"/>
        <rFont val="Calibri"/>
        <family val="2"/>
        <charset val="204"/>
        <scheme val="minor"/>
      </rPr>
      <t>отрицательные результаты</t>
    </r>
    <r>
      <rPr>
        <sz val="12"/>
        <color theme="1"/>
        <rFont val="Calibri"/>
        <family val="2"/>
        <charset val="204"/>
        <scheme val="minor"/>
      </rPr>
      <t xml:space="preserve"> - деталей стало меньше</t>
    </r>
  </si>
  <si>
    <t>Удаление пробелов</t>
  </si>
  <si>
    <t>Сцепка текста</t>
  </si>
  <si>
    <t>Функция СЦЕП</t>
  </si>
  <si>
    <t>Функция СЖПРОБЕЛЫ</t>
  </si>
  <si>
    <t>90000р</t>
  </si>
  <si>
    <t>55000руб</t>
  </si>
  <si>
    <t>50000тр</t>
  </si>
  <si>
    <t>40000тысяч руб</t>
  </si>
  <si>
    <r>
      <t xml:space="preserve">Нажмите в данном окне кнопку </t>
    </r>
    <r>
      <rPr>
        <b/>
        <sz val="12"/>
        <color theme="1"/>
        <rFont val="Calibri"/>
        <family val="2"/>
        <scheme val="minor"/>
      </rPr>
      <t>ИЗМЕНИТЬ</t>
    </r>
    <r>
      <rPr>
        <sz val="12"/>
        <color theme="1"/>
        <rFont val="Calibri"/>
        <family val="2"/>
        <scheme val="minor"/>
      </rPr>
      <t xml:space="preserve"> и выберите новое расположение файла, на </t>
    </r>
  </si>
  <si>
    <t>который ссылается Ваша книга - связь будет восстановлена</t>
  </si>
  <si>
    <t>24.04.2017</t>
  </si>
  <si>
    <t>09.04.2017</t>
  </si>
  <si>
    <t>22.05.2017</t>
  </si>
  <si>
    <t>28.05.2017</t>
  </si>
  <si>
    <t>14.04.2017</t>
  </si>
  <si>
    <t>19.04.2017</t>
  </si>
  <si>
    <t>15.04.2017</t>
  </si>
  <si>
    <t>16.05.2017</t>
  </si>
  <si>
    <t>08.05.2017</t>
  </si>
  <si>
    <t>03.04.2017</t>
  </si>
  <si>
    <t>03.05.2017</t>
  </si>
  <si>
    <t>23.04.2017</t>
  </si>
  <si>
    <t>12.05.2017</t>
  </si>
  <si>
    <t>01.05.2017</t>
  </si>
  <si>
    <t>27.05.2017</t>
  </si>
  <si>
    <t>04.05.2017</t>
  </si>
  <si>
    <t>26.04.2017</t>
  </si>
  <si>
    <t xml:space="preserve">Ромашкин </t>
  </si>
  <si>
    <t>ПЕТР</t>
  </si>
  <si>
    <t>ЯБЛОКОВ</t>
  </si>
  <si>
    <t>Дынина</t>
  </si>
  <si>
    <t>лимонов</t>
  </si>
  <si>
    <t>ВИШНЕВ</t>
  </si>
  <si>
    <t>СТЕПНОВ</t>
  </si>
  <si>
    <t>МАРИНА</t>
  </si>
  <si>
    <t>ульрих</t>
  </si>
  <si>
    <t>Леонтьевич</t>
  </si>
  <si>
    <t>Romashkin_Petr_Osipovich@mail.com</t>
  </si>
  <si>
    <t>Homyakov_Denis_Semenovich@mail.com</t>
  </si>
  <si>
    <t>Myshkin_Timofej_Petrovich@mail.com</t>
  </si>
  <si>
    <t>Udodov_Leonid_Nikolaevich@mail.com</t>
  </si>
  <si>
    <t>Myshkina_Marina_Platonovna@mail.com</t>
  </si>
  <si>
    <t>Vishneva_Yuliya_Haritonovna@mail.com</t>
  </si>
  <si>
    <t>Yablokov_Vasilij_Yurevich@mail.com</t>
  </si>
  <si>
    <t>Dynina_Renata_Tihonovna@mail.com</t>
  </si>
  <si>
    <t>Limonov_Ulrih_Vasilevich@mail.com</t>
  </si>
  <si>
    <t>Vishnev_Yakov_Leontevich@mail.com</t>
  </si>
  <si>
    <t>Pticin_Roman_Dmitrievich@mail.com</t>
  </si>
  <si>
    <t>Rogov_Platon_Romanovich@mail.com</t>
  </si>
  <si>
    <t>Stepnov_Pavel_Davidovich@mail.com</t>
  </si>
  <si>
    <t>Yuzhnyj_Stanislav_Trofimovich@mail.com</t>
  </si>
  <si>
    <t>СЕМЕНОВИЧ</t>
  </si>
  <si>
    <t>васильевич</t>
  </si>
  <si>
    <t>Хомяков принят17л.01. в  году в отдел ФИН на должность Бухгалтер</t>
  </si>
  <si>
    <t>Мышкин дата приема 17л .  году в отдел АДМ на должность Генеральный директор</t>
  </si>
  <si>
    <t>Удодов 20л.03. прием  году в отдел ФИН на должность Главный бухгалтер</t>
  </si>
  <si>
    <t>Мышкина 02л.04. оформление  году в отдел АДМ на должность Коммерческий директор</t>
  </si>
  <si>
    <t>Вишнева оформлена 05л.  году в отдел ОТД на должность Менеджер</t>
  </si>
  <si>
    <t>ЯБЛОКОВ оформлен прием 02л .  году в отдел ЛОГ на должность Менеджер</t>
  </si>
  <si>
    <t>Дынина 08л.11. сотрудник   году в отдел ОТД на должность Начальник отдела</t>
  </si>
  <si>
    <t>лимонов принят 01л.  году в отдел ЛОГ на должность Начальник отдела</t>
  </si>
  <si>
    <t>ВИШНЕВ 22л.03. оформление  году в отдел ЛОГ на должность Специалист</t>
  </si>
  <si>
    <t>Птицин дата приема на работу 19л  .  году в отдел ЛОГ на должность Специалист</t>
  </si>
  <si>
    <t>Рогов дата приема в отдел 07л  .  году в отдел ЛОГ на должность Специалист</t>
  </si>
  <si>
    <t>СТЕПНОВ прием дата оформления 05л .  году в отдел ОТД на должность Специалист</t>
  </si>
  <si>
    <t>Южный 04л.09. дата  году в отдел АДМ на должность Финансовый директор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</si>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</sst>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-* #,##0.00\ _₽_-;\-* #,##0.00\ _₽_-;_-* &quot;-&quot;??\ _₽_-;_-@_-"/>
    <numFmt numFmtId="164" formatCode="_-* #,##0.00_-;\-* #,##0.00_-;_-* &quot;-&quot;??_-;_-@_-"/>
    <numFmt numFmtId="165" formatCode="[$-419]d\ mmm;@"/>
    <numFmt numFmtId="166" formatCode="#,##0.00\ &quot;₽&quot;"/>
    <numFmt numFmtId="167" formatCode="_-* #,##0.00\ [$₽-419]_-;\-* #,##0.00\ [$₽-419]_-;_-* &quot;-&quot;??\ [$₽-419]_-;_-@_-"/>
    <numFmt numFmtId="168" formatCode="#,##0\ [$€-1];[Red]\-#,##0\ [$€-1]"/>
    <numFmt numFmtId="169" formatCode="_-[$€-2]\ * #,##0.00_-;\-[$€-2]\ * #,##0.00_-;_-[$€-2]\ * &quot;-&quot;??_-;_-@_-"/>
    <numFmt numFmtId="170" formatCode="_-[$$-409]* #,##0.00_ ;_-[$$-409]* \-#,##0.00\ ;_-[$$-409]* &quot;-&quot;??_ ;_-@_ "/>
    <numFmt numFmtId="171" formatCode="_-* #,##0.00_₽_-;\-* #,##0.00_₽_-;_-* &quot;-&quot;??_₽_-;_-@_-"/>
    <numFmt numFmtId="172" formatCode="_-* #,##0_₽_-;\-* #,##0_₽_-;_-* &quot;-&quot;_₽_-;_-@_-"/>
    <numFmt numFmtId="173" formatCode="0.000"/>
    <numFmt numFmtId="174" formatCode="_-* #,##0\ [$₽-419]_-;\-* #,##0\ [$₽-419]_-;_-* &quot;-&quot;??\ [$₽-419]_-;_-@_-"/>
    <numFmt numFmtId="175" formatCode="_-* #,##0_р_._-;\-* #,##0_р_._-;_-* &quot;-&quot;??_р_._-;_-@_-"/>
    <numFmt numFmtId="176" formatCode="0.0"/>
    <numFmt numFmtId="177" formatCode="_-[$$-1009]* #,##0.00_-;\-[$$-1009]* #,##0.00_-;_-[$$-1009]* &quot;-&quot;??_-;_-@_-"/>
    <numFmt numFmtId="179" formatCode="[$-F400]h:mm:ss\ AM/PM"/>
  </numFmts>
  <fonts count="113"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b/>
      <sz val="16"/>
      <color rgb="FF3292C5"/>
      <name val="Arial"/>
      <family val="2"/>
      <charset val="204"/>
    </font>
    <font>
      <b/>
      <sz val="12"/>
      <color rgb="FF3292C5"/>
      <name val="Arial"/>
      <family val="2"/>
      <charset val="204"/>
    </font>
    <font>
      <sz val="10"/>
      <color rgb="FF3292C5"/>
      <name val="Arial"/>
      <family val="2"/>
      <charset val="204"/>
    </font>
    <font>
      <u/>
      <sz val="10"/>
      <color theme="10"/>
      <name val="Calibri"/>
      <family val="2"/>
      <charset val="204"/>
      <scheme val="minor"/>
    </font>
    <font>
      <b/>
      <sz val="14"/>
      <color rgb="FF3292C5"/>
      <name val="Arial"/>
      <family val="2"/>
      <charset val="204"/>
    </font>
    <font>
      <u/>
      <sz val="12"/>
      <color rgb="FF3292C5"/>
      <name val="Arial"/>
      <family val="2"/>
      <charset val="204"/>
    </font>
    <font>
      <sz val="12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rgb="FF00B0F0"/>
      <name val="Arial"/>
      <family val="2"/>
      <charset val="204"/>
    </font>
    <font>
      <sz val="11"/>
      <color rgb="FF0070C0"/>
      <name val="Arial"/>
      <family val="2"/>
      <charset val="204"/>
    </font>
    <font>
      <b/>
      <sz val="14"/>
      <color theme="1"/>
      <name val="Calibri"/>
      <family val="2"/>
      <charset val="204"/>
      <scheme val="minor"/>
    </font>
    <font>
      <b/>
      <sz val="14"/>
      <color rgb="FF00B050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sz val="10"/>
      <name val="MS Sans Serif"/>
      <family val="2"/>
      <charset val="204"/>
    </font>
    <font>
      <b/>
      <sz val="11"/>
      <name val="Calibri"/>
      <family val="2"/>
      <charset val="204"/>
      <scheme val="minor"/>
    </font>
    <font>
      <b/>
      <sz val="16"/>
      <color rgb="FF00B05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6"/>
      <color theme="5" tint="0.39997558519241921"/>
      <name val="Calibri"/>
      <family val="2"/>
      <charset val="204"/>
      <scheme val="minor"/>
    </font>
    <font>
      <sz val="11"/>
      <color theme="5" tint="0.39997558519241921"/>
      <name val="Calibri"/>
      <family val="2"/>
      <charset val="204"/>
      <scheme val="minor"/>
    </font>
    <font>
      <b/>
      <sz val="11"/>
      <color theme="5" tint="0.39997558519241921"/>
      <name val="Calibri"/>
      <family val="2"/>
      <charset val="204"/>
      <scheme val="minor"/>
    </font>
    <font>
      <sz val="1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2"/>
      <color theme="0"/>
      <name val="Arial"/>
      <family val="2"/>
      <charset val="204"/>
    </font>
    <font>
      <b/>
      <sz val="10"/>
      <color theme="0"/>
      <name val="Arial"/>
      <family val="2"/>
      <charset val="204"/>
    </font>
    <font>
      <b/>
      <i/>
      <sz val="10"/>
      <color theme="0"/>
      <name val="Arial"/>
      <family val="2"/>
      <charset val="204"/>
    </font>
    <font>
      <sz val="10"/>
      <name val="Arial Cyr"/>
      <charset val="204"/>
    </font>
    <font>
      <b/>
      <sz val="16"/>
      <color rgb="FF92D050"/>
      <name val="Calibri"/>
      <family val="2"/>
      <charset val="204"/>
      <scheme val="minor"/>
    </font>
    <font>
      <b/>
      <sz val="14"/>
      <color rgb="FF002060"/>
      <name val="Calibri"/>
      <family val="2"/>
      <charset val="204"/>
      <scheme val="minor"/>
    </font>
    <font>
      <sz val="22"/>
      <color theme="1"/>
      <name val="Calibri"/>
      <family val="2"/>
      <scheme val="minor"/>
    </font>
    <font>
      <sz val="22"/>
      <color rgb="FFFF0000"/>
      <name val="Calibri"/>
      <family val="2"/>
      <scheme val="minor"/>
    </font>
    <font>
      <sz val="22"/>
      <color rgb="FF002060"/>
      <name val="Calibri"/>
      <family val="2"/>
      <scheme val="minor"/>
    </font>
    <font>
      <sz val="22"/>
      <color rgb="FF00B050"/>
      <name val="Calibri"/>
      <family val="2"/>
      <scheme val="minor"/>
    </font>
    <font>
      <sz val="22"/>
      <color rgb="FF7030A0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name val="Arial"/>
      <family val="2"/>
      <charset val="204"/>
    </font>
    <font>
      <b/>
      <sz val="11"/>
      <color theme="0" tint="-0.499984740745262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4"/>
      <color rgb="FF00B050"/>
      <name val="Calibri"/>
      <family val="2"/>
      <scheme val="minor"/>
    </font>
    <font>
      <sz val="14"/>
      <color rgb="FFFF0000"/>
      <name val="Calibri"/>
      <family val="2"/>
      <charset val="204"/>
      <scheme val="minor"/>
    </font>
    <font>
      <sz val="14"/>
      <color rgb="FF002060"/>
      <name val="Calibri"/>
      <family val="2"/>
      <charset val="204"/>
      <scheme val="minor"/>
    </font>
    <font>
      <sz val="14"/>
      <color rgb="FF00B050"/>
      <name val="Calibri"/>
      <family val="2"/>
      <charset val="204"/>
      <scheme val="minor"/>
    </font>
    <font>
      <sz val="1"/>
      <name val="Calibri"/>
      <family val="2"/>
      <charset val="204"/>
      <scheme val="minor"/>
    </font>
    <font>
      <sz val="14"/>
      <color rgb="FF7030A0"/>
      <name val="Calibri"/>
      <family val="2"/>
      <charset val="204"/>
      <scheme val="minor"/>
    </font>
    <font>
      <b/>
      <sz val="11"/>
      <name val="Calibri"/>
      <family val="2"/>
      <scheme val="minor"/>
    </font>
    <font>
      <i/>
      <sz val="10"/>
      <color theme="1"/>
      <name val="Calibri"/>
      <family val="2"/>
      <charset val="204"/>
      <scheme val="minor"/>
    </font>
    <font>
      <sz val="12"/>
      <color theme="1"/>
      <name val="Шрифт текста"/>
      <family val="2"/>
      <charset val="204"/>
    </font>
    <font>
      <sz val="12"/>
      <color theme="8"/>
      <name val="Шрифт текста"/>
      <family val="2"/>
      <charset val="204"/>
    </font>
    <font>
      <b/>
      <sz val="11"/>
      <color rgb="FF00B050"/>
      <name val="Arial"/>
      <family val="2"/>
      <charset val="204"/>
    </font>
    <font>
      <sz val="11"/>
      <name val="Arial"/>
      <family val="2"/>
      <charset val="204"/>
    </font>
    <font>
      <sz val="11"/>
      <color theme="8"/>
      <name val="Arial"/>
      <family val="2"/>
      <charset val="204"/>
    </font>
    <font>
      <b/>
      <sz val="11"/>
      <name val="Arial"/>
      <family val="2"/>
      <charset val="204"/>
    </font>
    <font>
      <b/>
      <i/>
      <sz val="11.5"/>
      <color rgb="FF3292C5"/>
      <name val="Arial"/>
      <family val="2"/>
      <charset val="204"/>
    </font>
    <font>
      <i/>
      <u/>
      <sz val="11.5"/>
      <color rgb="FF3292C5"/>
      <name val="Arial"/>
      <family val="2"/>
      <charset val="204"/>
    </font>
    <font>
      <b/>
      <sz val="12"/>
      <color theme="0" tint="-0.499984740745262"/>
      <name val="Calibri"/>
      <family val="2"/>
      <charset val="204"/>
      <scheme val="minor"/>
    </font>
    <font>
      <sz val="11"/>
      <color rgb="FF009999"/>
      <name val="Calibri"/>
      <family val="2"/>
      <charset val="204"/>
      <scheme val="minor"/>
    </font>
    <font>
      <sz val="11"/>
      <color rgb="FF666699"/>
      <name val="Calibri"/>
      <family val="2"/>
      <charset val="204"/>
      <scheme val="minor"/>
    </font>
    <font>
      <b/>
      <sz val="11"/>
      <color theme="5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  <font>
      <sz val="11"/>
      <color theme="1" tint="0.24994659260841701"/>
      <name val="Calibri"/>
      <family val="2"/>
      <scheme val="minor"/>
    </font>
    <font>
      <sz val="12"/>
      <color theme="0" tint="-0.14999847407452621"/>
      <name val="Calibri"/>
      <family val="2"/>
      <charset val="204"/>
      <scheme val="minor"/>
    </font>
    <font>
      <b/>
      <sz val="11"/>
      <color theme="0" tint="-0.14999847407452621"/>
      <name val="Calibri"/>
      <family val="2"/>
      <charset val="204"/>
      <scheme val="minor"/>
    </font>
    <font>
      <sz val="12"/>
      <color theme="0" tint="-0.14999847407452621"/>
      <name val="Шрифт текста"/>
      <family val="2"/>
      <charset val="204"/>
    </font>
    <font>
      <sz val="11"/>
      <color theme="0" tint="-0.14999847407452621"/>
      <name val="Arial"/>
      <family val="2"/>
      <charset val="204"/>
    </font>
    <font>
      <sz val="11"/>
      <color theme="0" tint="-0.14999847407452621"/>
      <name val="Calibri"/>
      <family val="2"/>
      <charset val="204"/>
      <scheme val="minor"/>
    </font>
    <font>
      <b/>
      <sz val="10"/>
      <color rgb="FF3292C5"/>
      <name val="Arial"/>
      <family val="2"/>
      <charset val="204"/>
    </font>
    <font>
      <i/>
      <sz val="10"/>
      <color theme="1"/>
      <name val="Arial"/>
      <family val="2"/>
      <charset val="204"/>
    </font>
    <font>
      <b/>
      <i/>
      <sz val="14"/>
      <color theme="1"/>
      <name val="Calibri"/>
      <family val="2"/>
      <charset val="204"/>
      <scheme val="minor"/>
    </font>
    <font>
      <sz val="11"/>
      <color theme="0"/>
      <name val="Calibri"/>
      <family val="2"/>
      <scheme val="minor"/>
    </font>
    <font>
      <b/>
      <sz val="12"/>
      <color theme="1"/>
      <name val="Aharoni"/>
      <charset val="177"/>
    </font>
    <font>
      <sz val="11"/>
      <color theme="0" tint="-0.249977111117893"/>
      <name val="Calibri"/>
      <family val="2"/>
      <scheme val="minor"/>
    </font>
    <font>
      <sz val="11"/>
      <color theme="0" tint="-0.249977111117893"/>
      <name val="Calibri"/>
      <family val="2"/>
      <charset val="204"/>
      <scheme val="minor"/>
    </font>
    <font>
      <sz val="12"/>
      <name val="Arial"/>
      <family val="2"/>
      <charset val="204"/>
    </font>
    <font>
      <b/>
      <sz val="18"/>
      <color theme="1"/>
      <name val="Calibri"/>
      <family val="2"/>
      <charset val="204"/>
      <scheme val="minor"/>
    </font>
    <font>
      <sz val="12"/>
      <color theme="0" tint="-0.249977111117893"/>
      <name val="Calibri"/>
      <family val="2"/>
      <charset val="204"/>
    </font>
    <font>
      <sz val="12"/>
      <color theme="0" tint="-0.249977111117893"/>
      <name val="Arial"/>
      <family val="2"/>
      <charset val="204"/>
    </font>
    <font>
      <sz val="12"/>
      <color theme="0" tint="-0.249977111117893"/>
      <name val="Calibri"/>
      <family val="2"/>
      <charset val="204"/>
      <scheme val="minor"/>
    </font>
    <font>
      <sz val="10"/>
      <color theme="0"/>
      <name val="Arial"/>
      <family val="2"/>
      <charset val="204"/>
    </font>
    <font>
      <sz val="12.5"/>
      <color theme="1"/>
      <name val="Arial"/>
      <family val="2"/>
      <charset val="204"/>
    </font>
    <font>
      <b/>
      <sz val="12.5"/>
      <color rgb="FF3292C5"/>
      <name val="Arial"/>
      <family val="2"/>
      <charset val="204"/>
    </font>
    <font>
      <b/>
      <sz val="12.5"/>
      <color theme="4" tint="-0.249977111117893"/>
      <name val="Arial"/>
      <family val="2"/>
      <charset val="204"/>
    </font>
    <font>
      <b/>
      <sz val="12.5"/>
      <color theme="9" tint="-0.249977111117893"/>
      <name val="Arial"/>
      <family val="2"/>
      <charset val="204"/>
    </font>
    <font>
      <b/>
      <sz val="12.5"/>
      <color theme="3" tint="0.39997558519241921"/>
      <name val="Arial"/>
      <family val="2"/>
      <charset val="204"/>
    </font>
    <font>
      <b/>
      <sz val="12.5"/>
      <color theme="7" tint="-0.249977111117893"/>
      <name val="Arial"/>
      <family val="2"/>
      <charset val="204"/>
    </font>
    <font>
      <b/>
      <sz val="12.5"/>
      <color theme="3" tint="-0.249977111117893"/>
      <name val="Arial"/>
      <family val="2"/>
      <charset val="204"/>
    </font>
    <font>
      <u/>
      <sz val="11.5"/>
      <color rgb="FF3292C5"/>
      <name val="Arial"/>
      <family val="2"/>
      <charset val="204"/>
    </font>
    <font>
      <sz val="11"/>
      <color rgb="FFFF0000"/>
      <name val="Calibri"/>
      <family val="2"/>
      <charset val="204"/>
      <scheme val="minor"/>
    </font>
    <font>
      <b/>
      <sz val="12"/>
      <color rgb="FFFF0000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1"/>
      <color theme="6" tint="-0.249977111117893"/>
      <name val="Arial"/>
      <family val="2"/>
      <charset val="204"/>
    </font>
    <font>
      <sz val="12"/>
      <color theme="6" tint="-0.249977111117893"/>
      <name val="Шрифт текста"/>
      <family val="2"/>
      <charset val="204"/>
    </font>
    <font>
      <b/>
      <sz val="11"/>
      <color rgb="FF000000"/>
      <name val="Arial"/>
      <family val="2"/>
      <charset val="204"/>
    </font>
    <font>
      <b/>
      <sz val="11"/>
      <color theme="0" tint="-0.249977111117893"/>
      <name val="Calibri"/>
      <family val="2"/>
      <charset val="204"/>
      <scheme val="minor"/>
    </font>
    <font>
      <b/>
      <sz val="12"/>
      <color theme="0" tint="-0.249977111117893"/>
      <name val="Calibri"/>
      <family val="2"/>
      <charset val="204"/>
      <scheme val="minor"/>
    </font>
    <font>
      <i/>
      <sz val="14"/>
      <color theme="1"/>
      <name val="Calibri"/>
      <family val="2"/>
      <charset val="204"/>
      <scheme val="minor"/>
    </font>
    <font>
      <i/>
      <sz val="1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scheme val="minor"/>
    </font>
    <font>
      <b/>
      <sz val="9"/>
      <color rgb="FF000000"/>
      <name val="Tahoma"/>
      <family val="2"/>
      <charset val="204"/>
    </font>
  </fonts>
  <fills count="30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76B8DC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21"/>
      </patternFill>
    </fill>
    <fill>
      <patternFill patternType="solid">
        <fgColor rgb="FFFFC000"/>
        <bgColor indexed="21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9FFCC"/>
        <bgColor indexed="21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4F62A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8FC7"/>
        <bgColor indexed="21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6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thin">
        <color theme="5" tint="0.39994506668294322"/>
      </bottom>
      <diagonal/>
    </border>
    <border>
      <left/>
      <right/>
      <top style="thin">
        <color theme="5" tint="0.39994506668294322"/>
      </top>
      <bottom style="thin">
        <color theme="5" tint="0.39994506668294322"/>
      </bottom>
      <diagonal/>
    </border>
    <border>
      <left/>
      <right/>
      <top style="thin">
        <color theme="5" tint="0.39994506668294322"/>
      </top>
      <bottom style="thin">
        <color theme="4"/>
      </bottom>
      <diagonal/>
    </border>
    <border>
      <left/>
      <right/>
      <top style="thin">
        <color theme="4" tint="0.39994506668294322"/>
      </top>
      <bottom style="thin">
        <color theme="5" tint="0.39994506668294322"/>
      </bottom>
      <diagonal/>
    </border>
    <border>
      <left/>
      <right style="thin">
        <color theme="5" tint="0.39991454817346722"/>
      </right>
      <top style="thin">
        <color theme="5" tint="0.39994506668294322"/>
      </top>
      <bottom style="thin">
        <color theme="5" tint="0.39994506668294322"/>
      </bottom>
      <diagonal/>
    </border>
    <border>
      <left style="thin">
        <color theme="5" tint="0.39991454817346722"/>
      </left>
      <right style="thin">
        <color theme="5" tint="0.39991454817346722"/>
      </right>
      <top style="thin">
        <color theme="5" tint="0.39994506668294322"/>
      </top>
      <bottom style="thin">
        <color theme="5" tint="0.39994506668294322"/>
      </bottom>
      <diagonal/>
    </border>
    <border>
      <left/>
      <right style="thin">
        <color theme="5" tint="0.39991454817346722"/>
      </right>
      <top style="thin">
        <color theme="5" tint="0.39994506668294322"/>
      </top>
      <bottom style="thin">
        <color theme="4" tint="0.39994506668294322"/>
      </bottom>
      <diagonal/>
    </border>
    <border>
      <left style="thin">
        <color theme="5" tint="0.39991454817346722"/>
      </left>
      <right style="thin">
        <color theme="5" tint="0.39991454817346722"/>
      </right>
      <top style="thin">
        <color theme="5" tint="0.39994506668294322"/>
      </top>
      <bottom style="thin">
        <color theme="4" tint="0.3999450666829432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rgb="FF009999"/>
      </left>
      <right style="thin">
        <color rgb="FF009999"/>
      </right>
      <top style="thin">
        <color rgb="FF009999"/>
      </top>
      <bottom style="thin">
        <color rgb="FF009999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indexed="64"/>
      </bottom>
      <diagonal/>
    </border>
    <border>
      <left style="hair">
        <color auto="1"/>
      </left>
      <right style="thin">
        <color indexed="64"/>
      </right>
      <top style="hair">
        <color auto="1"/>
      </top>
      <bottom style="thin">
        <color indexed="64"/>
      </bottom>
      <diagonal/>
    </border>
    <border>
      <left style="thin">
        <color indexed="64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thin">
        <color indexed="64"/>
      </right>
      <top style="hair">
        <color auto="1"/>
      </top>
      <bottom/>
      <diagonal/>
    </border>
    <border>
      <left style="thin">
        <color rgb="FFFF75BA"/>
      </left>
      <right style="thin">
        <color rgb="FFFF75BA"/>
      </right>
      <top style="thin">
        <color rgb="FFFF75BA"/>
      </top>
      <bottom style="thin">
        <color rgb="FFFF75BA"/>
      </bottom>
      <diagonal/>
    </border>
    <border>
      <left style="thin">
        <color rgb="FFFF75BA"/>
      </left>
      <right style="thin">
        <color rgb="FFFF75BA"/>
      </right>
      <top/>
      <bottom/>
      <diagonal/>
    </border>
    <border diagonalUp="1"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theme="2" tint="-0.499984740745262"/>
      </diagonal>
    </border>
    <border>
      <left style="medium">
        <color rgb="FFCF321B"/>
      </left>
      <right style="medium">
        <color rgb="FFCF321B"/>
      </right>
      <top style="medium">
        <color rgb="FFCF321B"/>
      </top>
      <bottom style="medium">
        <color rgb="FFCF321B"/>
      </bottom>
      <diagonal/>
    </border>
    <border>
      <left style="thin">
        <color rgb="FF009999"/>
      </left>
      <right/>
      <top style="thin">
        <color rgb="FF009999"/>
      </top>
      <bottom style="thin">
        <color rgb="FF009999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/>
      <right/>
      <top/>
      <bottom style="thin">
        <color theme="0" tint="-0.499984740745262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ck">
        <color rgb="FF92D050"/>
      </left>
      <right/>
      <top style="thick">
        <color rgb="FF92D050"/>
      </top>
      <bottom/>
      <diagonal/>
    </border>
    <border>
      <left/>
      <right/>
      <top style="thick">
        <color rgb="FF92D050"/>
      </top>
      <bottom/>
      <diagonal/>
    </border>
    <border>
      <left/>
      <right style="thick">
        <color rgb="FF92D050"/>
      </right>
      <top style="thick">
        <color rgb="FF92D050"/>
      </top>
      <bottom/>
      <diagonal/>
    </border>
    <border>
      <left style="thick">
        <color rgb="FF92D050"/>
      </left>
      <right/>
      <top/>
      <bottom/>
      <diagonal/>
    </border>
    <border>
      <left/>
      <right style="thick">
        <color rgb="FF92D050"/>
      </right>
      <top/>
      <bottom/>
      <diagonal/>
    </border>
    <border>
      <left style="thick">
        <color rgb="FF92D050"/>
      </left>
      <right/>
      <top/>
      <bottom style="thick">
        <color rgb="FF92D050"/>
      </bottom>
      <diagonal/>
    </border>
    <border>
      <left/>
      <right/>
      <top/>
      <bottom style="thick">
        <color rgb="FF92D050"/>
      </bottom>
      <diagonal/>
    </border>
    <border>
      <left/>
      <right style="thick">
        <color rgb="FF92D050"/>
      </right>
      <top/>
      <bottom style="thick">
        <color rgb="FF92D050"/>
      </bottom>
      <diagonal/>
    </border>
  </borders>
  <cellStyleXfs count="17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11" fillId="0" borderId="0" applyNumberFormat="0" applyFill="0" applyBorder="0" applyAlignment="0" applyProtection="0"/>
    <xf numFmtId="0" fontId="23" fillId="0" borderId="0"/>
    <xf numFmtId="0" fontId="35" fillId="0" borderId="0"/>
    <xf numFmtId="0" fontId="44" fillId="0" borderId="0"/>
    <xf numFmtId="9" fontId="35" fillId="0" borderId="0" applyFont="0" applyFill="0" applyBorder="0" applyAlignment="0" applyProtection="0"/>
    <xf numFmtId="0" fontId="55" fillId="0" borderId="0"/>
    <xf numFmtId="0" fontId="23" fillId="0" borderId="0"/>
    <xf numFmtId="0" fontId="15" fillId="0" borderId="0"/>
    <xf numFmtId="0" fontId="21" fillId="0" borderId="0"/>
    <xf numFmtId="171" fontId="4" fillId="0" borderId="0" applyFont="0" applyFill="0" applyBorder="0" applyAlignment="0" applyProtection="0"/>
    <xf numFmtId="43" fontId="55" fillId="0" borderId="0" applyFont="0" applyFill="0" applyBorder="0" applyAlignment="0" applyProtection="0"/>
    <xf numFmtId="0" fontId="4" fillId="0" borderId="0"/>
    <xf numFmtId="0" fontId="72" fillId="0" borderId="0">
      <alignment vertical="center" wrapText="1"/>
    </xf>
    <xf numFmtId="164" fontId="4" fillId="0" borderId="0" applyFont="0" applyFill="0" applyBorder="0" applyAlignment="0" applyProtection="0"/>
  </cellStyleXfs>
  <cellXfs count="439">
    <xf numFmtId="0" fontId="0" fillId="0" borderId="0" xfId="0"/>
    <xf numFmtId="0" fontId="7" fillId="2" borderId="0" xfId="2" applyFont="1" applyFill="1"/>
    <xf numFmtId="0" fontId="7" fillId="0" borderId="0" xfId="2" applyFont="1"/>
    <xf numFmtId="0" fontId="10" fillId="2" borderId="0" xfId="2" applyFont="1" applyFill="1"/>
    <xf numFmtId="0" fontId="7" fillId="2" borderId="1" xfId="2" applyFont="1" applyFill="1" applyBorder="1"/>
    <xf numFmtId="0" fontId="7" fillId="2" borderId="0" xfId="2" quotePrefix="1" applyFont="1" applyFill="1"/>
    <xf numFmtId="0" fontId="8" fillId="2" borderId="0" xfId="2" applyFont="1" applyFill="1" applyAlignment="1"/>
    <xf numFmtId="0" fontId="9" fillId="2" borderId="0" xfId="2" applyFont="1" applyFill="1" applyAlignment="1">
      <alignment horizontal="right"/>
    </xf>
    <xf numFmtId="0" fontId="14" fillId="2" borderId="0" xfId="2" applyFont="1" applyFill="1" applyAlignment="1">
      <alignment horizontal="right"/>
    </xf>
    <xf numFmtId="0" fontId="14" fillId="2" borderId="0" xfId="2" applyFont="1" applyFill="1"/>
    <xf numFmtId="0" fontId="13" fillId="2" borderId="0" xfId="2" applyFont="1" applyFill="1" applyAlignment="1">
      <alignment horizontal="left"/>
    </xf>
    <xf numFmtId="0" fontId="7" fillId="0" borderId="0" xfId="2" applyFont="1" applyFill="1"/>
    <xf numFmtId="0" fontId="16" fillId="0" borderId="0" xfId="2" applyFont="1" applyFill="1" applyBorder="1"/>
    <xf numFmtId="0" fontId="17" fillId="0" borderId="0" xfId="2" applyFont="1" applyFill="1" applyBorder="1"/>
    <xf numFmtId="49" fontId="20" fillId="0" borderId="0" xfId="0" applyNumberFormat="1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0" borderId="2" xfId="0" applyBorder="1"/>
    <xf numFmtId="49" fontId="18" fillId="0" borderId="0" xfId="0" applyNumberFormat="1" applyFont="1"/>
    <xf numFmtId="49" fontId="18" fillId="0" borderId="0" xfId="0" applyNumberFormat="1" applyFont="1" applyFill="1" applyBorder="1" applyAlignment="1"/>
    <xf numFmtId="0" fontId="22" fillId="0" borderId="0" xfId="0" applyFont="1"/>
    <xf numFmtId="0" fontId="22" fillId="0" borderId="2" xfId="0" applyFont="1" applyBorder="1"/>
    <xf numFmtId="0" fontId="18" fillId="4" borderId="2" xfId="0" applyFont="1" applyFill="1" applyBorder="1" applyAlignment="1">
      <alignment horizontal="center"/>
    </xf>
    <xf numFmtId="0" fontId="0" fillId="5" borderId="2" xfId="0" applyFill="1" applyBorder="1"/>
    <xf numFmtId="0" fontId="0" fillId="0" borderId="2" xfId="0" applyBorder="1" applyAlignment="1">
      <alignment horizontal="center" vertical="center"/>
    </xf>
    <xf numFmtId="0" fontId="24" fillId="3" borderId="2" xfId="4" applyNumberFormat="1" applyFont="1" applyFill="1" applyBorder="1" applyAlignment="1">
      <alignment horizontal="center" vertical="center" wrapText="1"/>
    </xf>
    <xf numFmtId="0" fontId="5" fillId="0" borderId="0" xfId="0" applyFont="1" applyBorder="1" applyAlignment="1">
      <alignment vertical="center"/>
    </xf>
    <xf numFmtId="0" fontId="25" fillId="0" borderId="0" xfId="0" applyFont="1" applyBorder="1" applyAlignment="1">
      <alignment vertical="center"/>
    </xf>
    <xf numFmtId="0" fontId="27" fillId="0" borderId="0" xfId="0" applyFont="1" applyBorder="1" applyAlignment="1">
      <alignment vertical="center"/>
    </xf>
    <xf numFmtId="0" fontId="28" fillId="0" borderId="0" xfId="0" applyFont="1"/>
    <xf numFmtId="0" fontId="29" fillId="0" borderId="0" xfId="0" applyFont="1" applyBorder="1" applyAlignment="1">
      <alignment vertical="center"/>
    </xf>
    <xf numFmtId="0" fontId="0" fillId="0" borderId="0" xfId="0" applyBorder="1"/>
    <xf numFmtId="0" fontId="24" fillId="3" borderId="3" xfId="4" applyNumberFormat="1" applyFont="1" applyFill="1" applyBorder="1" applyAlignment="1">
      <alignment horizontal="center" vertical="center" wrapText="1"/>
    </xf>
    <xf numFmtId="0" fontId="0" fillId="0" borderId="4" xfId="0" applyBorder="1"/>
    <xf numFmtId="0" fontId="0" fillId="0" borderId="4" xfId="0" applyBorder="1" applyAlignment="1">
      <alignment horizontal="center" vertical="center"/>
    </xf>
    <xf numFmtId="0" fontId="0" fillId="0" borderId="5" xfId="0" applyBorder="1"/>
    <xf numFmtId="0" fontId="0" fillId="0" borderId="5" xfId="0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24" fillId="3" borderId="6" xfId="4" applyNumberFormat="1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8" xfId="0" applyBorder="1"/>
    <xf numFmtId="20" fontId="0" fillId="0" borderId="7" xfId="0" applyNumberFormat="1" applyBorder="1" applyAlignment="1">
      <alignment horizontal="center" vertical="center"/>
    </xf>
    <xf numFmtId="20" fontId="0" fillId="0" borderId="8" xfId="0" applyNumberFormat="1" applyBorder="1" applyAlignment="1">
      <alignment horizontal="center" vertical="center"/>
    </xf>
    <xf numFmtId="9" fontId="0" fillId="0" borderId="7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2" fontId="0" fillId="0" borderId="7" xfId="0" applyNumberFormat="1" applyBorder="1" applyAlignment="1">
      <alignment horizontal="center" vertical="center"/>
    </xf>
    <xf numFmtId="12" fontId="0" fillId="0" borderId="8" xfId="0" applyNumberFormat="1" applyBorder="1" applyAlignment="1">
      <alignment horizontal="center" vertical="center"/>
    </xf>
    <xf numFmtId="165" fontId="0" fillId="4" borderId="7" xfId="0" applyNumberFormat="1" applyFill="1" applyBorder="1" applyAlignment="1">
      <alignment horizontal="center" vertical="center"/>
    </xf>
    <xf numFmtId="165" fontId="0" fillId="4" borderId="8" xfId="0" applyNumberFormat="1" applyFill="1" applyBorder="1" applyAlignment="1">
      <alignment horizontal="center" vertical="center"/>
    </xf>
    <xf numFmtId="0" fontId="31" fillId="0" borderId="0" xfId="0" applyFont="1"/>
    <xf numFmtId="0" fontId="32" fillId="6" borderId="0" xfId="0" applyFont="1" applyFill="1" applyBorder="1" applyAlignment="1">
      <alignment horizontal="left" vertical="center"/>
    </xf>
    <xf numFmtId="0" fontId="33" fillId="6" borderId="0" xfId="0" applyFont="1" applyFill="1" applyAlignment="1">
      <alignment horizontal="center" vertical="center"/>
    </xf>
    <xf numFmtId="0" fontId="33" fillId="6" borderId="0" xfId="0" applyFont="1" applyFill="1" applyAlignment="1">
      <alignment horizontal="right" vertical="center"/>
    </xf>
    <xf numFmtId="0" fontId="7" fillId="0" borderId="0" xfId="0" applyFont="1"/>
    <xf numFmtId="0" fontId="7" fillId="0" borderId="11" xfId="0" applyFont="1" applyBorder="1"/>
    <xf numFmtId="0" fontId="7" fillId="0" borderId="12" xfId="0" applyFont="1" applyBorder="1"/>
    <xf numFmtId="0" fontId="33" fillId="6" borderId="13" xfId="0" applyFont="1" applyFill="1" applyBorder="1" applyAlignment="1">
      <alignment horizontal="center"/>
    </xf>
    <xf numFmtId="0" fontId="32" fillId="7" borderId="0" xfId="0" applyFont="1" applyFill="1" applyBorder="1"/>
    <xf numFmtId="0" fontId="33" fillId="7" borderId="0" xfId="0" applyFont="1" applyFill="1" applyBorder="1"/>
    <xf numFmtId="0" fontId="34" fillId="7" borderId="0" xfId="0" applyFont="1" applyFill="1" applyBorder="1" applyAlignment="1">
      <alignment horizontal="right"/>
    </xf>
    <xf numFmtId="14" fontId="26" fillId="0" borderId="2" xfId="4" applyNumberFormat="1" applyFont="1" applyBorder="1"/>
    <xf numFmtId="0" fontId="26" fillId="0" borderId="2" xfId="4" applyNumberFormat="1" applyFont="1" applyBorder="1"/>
    <xf numFmtId="0" fontId="36" fillId="0" borderId="0" xfId="5" applyFont="1"/>
    <xf numFmtId="166" fontId="26" fillId="0" borderId="2" xfId="4" applyNumberFormat="1" applyFont="1" applyBorder="1" applyAlignment="1">
      <alignment horizontal="center" vertical="center"/>
    </xf>
    <xf numFmtId="0" fontId="37" fillId="0" borderId="1" xfId="0" applyFont="1" applyBorder="1" applyAlignment="1"/>
    <xf numFmtId="9" fontId="24" fillId="3" borderId="2" xfId="4" applyNumberFormat="1" applyFont="1" applyFill="1" applyBorder="1" applyAlignment="1">
      <alignment horizontal="center" vertical="center" wrapText="1"/>
    </xf>
    <xf numFmtId="166" fontId="26" fillId="0" borderId="2" xfId="4" applyNumberFormat="1" applyFont="1" applyBorder="1"/>
    <xf numFmtId="0" fontId="24" fillId="8" borderId="2" xfId="4" applyNumberFormat="1" applyFont="1" applyFill="1" applyBorder="1" applyAlignment="1">
      <alignment horizontal="center" wrapText="1"/>
    </xf>
    <xf numFmtId="167" fontId="26" fillId="8" borderId="2" xfId="4" applyNumberFormat="1" applyFont="1" applyFill="1" applyBorder="1" applyAlignment="1"/>
    <xf numFmtId="9" fontId="24" fillId="8" borderId="2" xfId="4" applyNumberFormat="1" applyFont="1" applyFill="1" applyBorder="1" applyAlignment="1">
      <alignment horizontal="center" vertical="center" wrapText="1"/>
    </xf>
    <xf numFmtId="9" fontId="31" fillId="0" borderId="0" xfId="1" applyFont="1"/>
    <xf numFmtId="0" fontId="5" fillId="3" borderId="2" xfId="1" applyNumberFormat="1" applyFont="1" applyFill="1" applyBorder="1" applyAlignment="1">
      <alignment horizontal="center" vertical="center"/>
    </xf>
    <xf numFmtId="0" fontId="5" fillId="9" borderId="15" xfId="0" applyFont="1" applyFill="1" applyBorder="1" applyAlignment="1">
      <alignment horizontal="center" vertical="center"/>
    </xf>
    <xf numFmtId="0" fontId="5" fillId="3" borderId="2" xfId="0" applyFont="1" applyFill="1" applyBorder="1" applyAlignment="1"/>
    <xf numFmtId="0" fontId="0" fillId="0" borderId="19" xfId="0" applyBorder="1"/>
    <xf numFmtId="0" fontId="0" fillId="0" borderId="20" xfId="0" applyBorder="1"/>
    <xf numFmtId="0" fontId="0" fillId="0" borderId="21" xfId="0" applyBorder="1"/>
    <xf numFmtId="49" fontId="38" fillId="0" borderId="22" xfId="0" applyNumberFormat="1" applyFont="1" applyBorder="1"/>
    <xf numFmtId="0" fontId="0" fillId="0" borderId="23" xfId="0" applyBorder="1"/>
    <xf numFmtId="49" fontId="43" fillId="0" borderId="22" xfId="0" applyNumberFormat="1" applyFont="1" applyBorder="1"/>
    <xf numFmtId="0" fontId="0" fillId="0" borderId="22" xfId="0" applyBorder="1"/>
    <xf numFmtId="0" fontId="0" fillId="0" borderId="24" xfId="0" applyBorder="1"/>
    <xf numFmtId="0" fontId="0" fillId="0" borderId="1" xfId="0" applyBorder="1"/>
    <xf numFmtId="0" fontId="0" fillId="0" borderId="25" xfId="0" applyBorder="1"/>
    <xf numFmtId="0" fontId="24" fillId="10" borderId="2" xfId="6" applyFont="1" applyFill="1" applyBorder="1" applyAlignment="1">
      <alignment horizontal="center" vertical="center" wrapText="1"/>
    </xf>
    <xf numFmtId="0" fontId="26" fillId="0" borderId="0" xfId="5" applyFont="1"/>
    <xf numFmtId="9" fontId="26" fillId="0" borderId="2" xfId="7" applyFont="1" applyFill="1" applyBorder="1"/>
    <xf numFmtId="0" fontId="26" fillId="0" borderId="2" xfId="6" applyNumberFormat="1" applyFont="1" applyFill="1" applyBorder="1"/>
    <xf numFmtId="168" fontId="24" fillId="10" borderId="2" xfId="6" applyNumberFormat="1" applyFont="1" applyFill="1" applyBorder="1" applyAlignment="1">
      <alignment horizontal="center" vertical="center"/>
    </xf>
    <xf numFmtId="0" fontId="24" fillId="11" borderId="2" xfId="6" applyFont="1" applyFill="1" applyBorder="1" applyAlignment="1">
      <alignment horizontal="center" vertical="center" wrapText="1"/>
    </xf>
    <xf numFmtId="0" fontId="45" fillId="0" borderId="0" xfId="6" applyFont="1"/>
    <xf numFmtId="0" fontId="26" fillId="0" borderId="0" xfId="5" applyNumberFormat="1" applyFont="1"/>
    <xf numFmtId="167" fontId="24" fillId="10" borderId="2" xfId="6" applyNumberFormat="1" applyFont="1" applyFill="1" applyBorder="1" applyAlignment="1">
      <alignment horizontal="center" vertical="center" wrapText="1"/>
    </xf>
    <xf numFmtId="167" fontId="26" fillId="0" borderId="0" xfId="5" applyNumberFormat="1" applyFont="1"/>
    <xf numFmtId="169" fontId="26" fillId="0" borderId="2" xfId="6" applyNumberFormat="1" applyFont="1" applyFill="1" applyBorder="1"/>
    <xf numFmtId="170" fontId="26" fillId="0" borderId="2" xfId="6" applyNumberFormat="1" applyFont="1" applyFill="1" applyBorder="1"/>
    <xf numFmtId="0" fontId="47" fillId="0" borderId="0" xfId="0" applyFont="1"/>
    <xf numFmtId="49" fontId="43" fillId="0" borderId="0" xfId="0" applyNumberFormat="1" applyFont="1"/>
    <xf numFmtId="0" fontId="43" fillId="0" borderId="0" xfId="0" applyFont="1"/>
    <xf numFmtId="0" fontId="53" fillId="3" borderId="2" xfId="4" applyNumberFormat="1" applyFont="1" applyFill="1" applyBorder="1" applyAlignment="1">
      <alignment horizontal="center" vertical="center" wrapText="1"/>
    </xf>
    <xf numFmtId="0" fontId="53" fillId="3" borderId="2" xfId="4" applyNumberFormat="1" applyFont="1" applyFill="1" applyBorder="1" applyAlignment="1">
      <alignment horizontal="left" vertical="center" wrapText="1"/>
    </xf>
    <xf numFmtId="0" fontId="30" fillId="0" borderId="2" xfId="4" applyNumberFormat="1" applyFont="1" applyBorder="1" applyAlignment="1">
      <alignment horizontal="center"/>
    </xf>
    <xf numFmtId="0" fontId="30" fillId="0" borderId="2" xfId="4" applyNumberFormat="1" applyFont="1" applyBorder="1"/>
    <xf numFmtId="9" fontId="30" fillId="0" borderId="2" xfId="1" applyFont="1" applyBorder="1"/>
    <xf numFmtId="0" fontId="31" fillId="0" borderId="0" xfId="0" applyFont="1" applyBorder="1"/>
    <xf numFmtId="0" fontId="54" fillId="13" borderId="31" xfId="0" applyFont="1" applyFill="1" applyBorder="1" applyAlignment="1">
      <alignment horizontal="center"/>
    </xf>
    <xf numFmtId="0" fontId="54" fillId="13" borderId="18" xfId="0" applyFont="1" applyFill="1" applyBorder="1" applyAlignment="1">
      <alignment horizontal="center"/>
    </xf>
    <xf numFmtId="0" fontId="54" fillId="13" borderId="32" xfId="0" applyFont="1" applyFill="1" applyBorder="1" applyAlignment="1">
      <alignment horizontal="center"/>
    </xf>
    <xf numFmtId="9" fontId="5" fillId="3" borderId="33" xfId="1" applyFont="1" applyFill="1" applyBorder="1" applyAlignment="1">
      <alignment horizontal="center" vertical="center"/>
    </xf>
    <xf numFmtId="9" fontId="5" fillId="3" borderId="34" xfId="1" applyFont="1" applyFill="1" applyBorder="1" applyAlignment="1">
      <alignment horizontal="center" vertical="center"/>
    </xf>
    <xf numFmtId="9" fontId="5" fillId="3" borderId="35" xfId="1" applyFont="1" applyFill="1" applyBorder="1" applyAlignment="1">
      <alignment horizontal="center" vertical="center"/>
    </xf>
    <xf numFmtId="0" fontId="5" fillId="9" borderId="30" xfId="0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5" fillId="9" borderId="36" xfId="0" applyFont="1" applyFill="1" applyBorder="1" applyAlignment="1">
      <alignment horizontal="center" vertical="center"/>
    </xf>
    <xf numFmtId="0" fontId="55" fillId="0" borderId="0" xfId="8"/>
    <xf numFmtId="0" fontId="19" fillId="0" borderId="0" xfId="8" applyFont="1"/>
    <xf numFmtId="0" fontId="56" fillId="0" borderId="0" xfId="8" applyFont="1"/>
    <xf numFmtId="0" fontId="58" fillId="0" borderId="2" xfId="4" applyNumberFormat="1" applyFont="1" applyBorder="1"/>
    <xf numFmtId="0" fontId="24" fillId="3" borderId="2" xfId="4" applyNumberFormat="1" applyFont="1" applyFill="1" applyBorder="1" applyAlignment="1">
      <alignment horizontal="center" vertical="center" wrapText="1"/>
    </xf>
    <xf numFmtId="0" fontId="59" fillId="0" borderId="0" xfId="8" applyFont="1"/>
    <xf numFmtId="0" fontId="58" fillId="0" borderId="2" xfId="4" applyNumberFormat="1" applyFont="1" applyBorder="1" applyAlignment="1">
      <alignment horizontal="left" indent="2"/>
    </xf>
    <xf numFmtId="0" fontId="60" fillId="0" borderId="0" xfId="9" applyNumberFormat="1" applyFont="1" applyFill="1" applyBorder="1" applyAlignment="1">
      <alignment horizontal="center" vertical="center" wrapText="1"/>
    </xf>
    <xf numFmtId="0" fontId="58" fillId="0" borderId="0" xfId="9" applyFont="1" applyFill="1" applyBorder="1" applyAlignment="1"/>
    <xf numFmtId="0" fontId="58" fillId="9" borderId="2" xfId="4" applyNumberFormat="1" applyFont="1" applyFill="1" applyBorder="1" applyAlignment="1">
      <alignment horizontal="center"/>
    </xf>
    <xf numFmtId="0" fontId="58" fillId="0" borderId="0" xfId="4" applyNumberFormat="1" applyFont="1" applyBorder="1" applyAlignment="1">
      <alignment horizontal="left" indent="2"/>
    </xf>
    <xf numFmtId="0" fontId="58" fillId="0" borderId="0" xfId="4" applyNumberFormat="1" applyFont="1" applyBorder="1"/>
    <xf numFmtId="0" fontId="58" fillId="0" borderId="0" xfId="8" applyFont="1"/>
    <xf numFmtId="0" fontId="58" fillId="14" borderId="2" xfId="4" applyNumberFormat="1" applyFont="1" applyFill="1" applyBorder="1" applyAlignment="1">
      <alignment horizontal="center"/>
    </xf>
    <xf numFmtId="0" fontId="58" fillId="0" borderId="2" xfId="4" applyNumberFormat="1" applyFont="1" applyBorder="1" applyAlignment="1">
      <alignment horizontal="left"/>
    </xf>
    <xf numFmtId="0" fontId="57" fillId="0" borderId="0" xfId="10" applyFont="1" applyFill="1" applyBorder="1"/>
    <xf numFmtId="0" fontId="60" fillId="15" borderId="37" xfId="0" applyNumberFormat="1" applyFont="1" applyFill="1" applyBorder="1" applyAlignment="1">
      <alignment horizontal="center" vertical="center" wrapText="1"/>
    </xf>
    <xf numFmtId="0" fontId="58" fillId="0" borderId="37" xfId="0" applyFont="1" applyFill="1" applyBorder="1" applyAlignment="1"/>
    <xf numFmtId="0" fontId="58" fillId="0" borderId="0" xfId="0" applyFont="1"/>
    <xf numFmtId="168" fontId="60" fillId="15" borderId="37" xfId="0" applyNumberFormat="1" applyFont="1" applyFill="1" applyBorder="1" applyAlignment="1">
      <alignment horizontal="center" vertical="center" wrapText="1"/>
    </xf>
    <xf numFmtId="0" fontId="21" fillId="0" borderId="0" xfId="8" applyFont="1"/>
    <xf numFmtId="0" fontId="26" fillId="0" borderId="0" xfId="8" applyFont="1"/>
    <xf numFmtId="0" fontId="61" fillId="2" borderId="0" xfId="2" quotePrefix="1" applyFont="1" applyFill="1" applyAlignment="1">
      <alignment horizontal="right"/>
    </xf>
    <xf numFmtId="0" fontId="24" fillId="3" borderId="2" xfId="4" applyNumberFormat="1" applyFont="1" applyFill="1" applyBorder="1" applyAlignment="1">
      <alignment horizontal="left" vertical="center" wrapText="1" indent="1"/>
    </xf>
    <xf numFmtId="0" fontId="63" fillId="0" borderId="0" xfId="8" applyFont="1"/>
    <xf numFmtId="0" fontId="26" fillId="0" borderId="0" xfId="8" applyFont="1" applyAlignment="1"/>
    <xf numFmtId="0" fontId="45" fillId="0" borderId="0" xfId="8" applyFont="1"/>
    <xf numFmtId="0" fontId="64" fillId="0" borderId="0" xfId="8" applyFont="1"/>
    <xf numFmtId="0" fontId="26" fillId="0" borderId="0" xfId="11" applyFont="1"/>
    <xf numFmtId="0" fontId="65" fillId="0" borderId="0" xfId="11" applyFont="1"/>
    <xf numFmtId="0" fontId="24" fillId="10" borderId="2" xfId="11" applyNumberFormat="1" applyFont="1" applyFill="1" applyBorder="1" applyAlignment="1">
      <alignment horizontal="center" vertical="center" wrapText="1"/>
    </xf>
    <xf numFmtId="0" fontId="26" fillId="0" borderId="2" xfId="11" applyFont="1" applyFill="1" applyBorder="1" applyAlignment="1"/>
    <xf numFmtId="0" fontId="26" fillId="3" borderId="2" xfId="11" applyFont="1" applyFill="1" applyBorder="1" applyAlignment="1"/>
    <xf numFmtId="0" fontId="24" fillId="9" borderId="2" xfId="11" applyFont="1" applyFill="1" applyBorder="1" applyAlignment="1">
      <alignment horizontal="center"/>
    </xf>
    <xf numFmtId="14" fontId="26" fillId="0" borderId="0" xfId="11" applyNumberFormat="1" applyFont="1"/>
    <xf numFmtId="0" fontId="45" fillId="0" borderId="0" xfId="0" applyFont="1"/>
    <xf numFmtId="0" fontId="66" fillId="0" borderId="0" xfId="0" applyFont="1"/>
    <xf numFmtId="0" fontId="0" fillId="16" borderId="2" xfId="0" applyFill="1" applyBorder="1" applyAlignment="1">
      <alignment horizontal="center"/>
    </xf>
    <xf numFmtId="0" fontId="0" fillId="17" borderId="2" xfId="0" applyFill="1" applyBorder="1" applyAlignment="1">
      <alignment horizontal="center"/>
    </xf>
    <xf numFmtId="0" fontId="0" fillId="0" borderId="2" xfId="0" applyFill="1" applyBorder="1"/>
    <xf numFmtId="0" fontId="0" fillId="0" borderId="2" xfId="0" applyBorder="1" applyAlignment="1">
      <alignment horizontal="center"/>
    </xf>
    <xf numFmtId="3" fontId="26" fillId="0" borderId="2" xfId="4" applyNumberFormat="1" applyFont="1" applyBorder="1"/>
    <xf numFmtId="0" fontId="26" fillId="12" borderId="2" xfId="8" applyFont="1" applyFill="1" applyBorder="1"/>
    <xf numFmtId="3" fontId="45" fillId="0" borderId="0" xfId="8" applyNumberFormat="1" applyFont="1"/>
    <xf numFmtId="0" fontId="67" fillId="0" borderId="0" xfId="8" applyFont="1"/>
    <xf numFmtId="172" fontId="26" fillId="0" borderId="2" xfId="12" applyNumberFormat="1" applyFont="1" applyBorder="1"/>
    <xf numFmtId="173" fontId="21" fillId="0" borderId="2" xfId="8" applyNumberFormat="1" applyFont="1" applyBorder="1"/>
    <xf numFmtId="1" fontId="26" fillId="0" borderId="2" xfId="4" applyNumberFormat="1" applyFont="1" applyBorder="1" applyAlignment="1">
      <alignment horizontal="center"/>
    </xf>
    <xf numFmtId="173" fontId="26" fillId="0" borderId="2" xfId="4" applyNumberFormat="1" applyFont="1" applyBorder="1"/>
    <xf numFmtId="0" fontId="26" fillId="0" borderId="2" xfId="4" applyNumberFormat="1" applyFont="1" applyBorder="1" applyAlignment="1">
      <alignment horizontal="right"/>
    </xf>
    <xf numFmtId="0" fontId="0" fillId="0" borderId="2" xfId="0" applyNumberFormat="1" applyBorder="1" applyAlignment="1">
      <alignment horizontal="center"/>
    </xf>
    <xf numFmtId="0" fontId="0" fillId="0" borderId="0" xfId="0" applyFont="1"/>
    <xf numFmtId="0" fontId="30" fillId="0" borderId="0" xfId="0" applyFont="1" applyFill="1"/>
    <xf numFmtId="0" fontId="30" fillId="0" borderId="38" xfId="0" applyFont="1" applyFill="1" applyBorder="1"/>
    <xf numFmtId="0" fontId="30" fillId="0" borderId="39" xfId="0" applyFont="1" applyFill="1" applyBorder="1"/>
    <xf numFmtId="9" fontId="30" fillId="0" borderId="40" xfId="0" applyNumberFormat="1" applyFont="1" applyFill="1" applyBorder="1"/>
    <xf numFmtId="0" fontId="30" fillId="0" borderId="0" xfId="0" applyFont="1" applyFill="1" applyAlignment="1"/>
    <xf numFmtId="0" fontId="53" fillId="0" borderId="39" xfId="0" applyFont="1" applyFill="1" applyBorder="1" applyAlignment="1">
      <alignment horizontal="center" vertical="center"/>
    </xf>
    <xf numFmtId="9" fontId="30" fillId="0" borderId="39" xfId="0" applyNumberFormat="1" applyFont="1" applyFill="1" applyBorder="1"/>
    <xf numFmtId="0" fontId="30" fillId="0" borderId="40" xfId="0" applyFont="1" applyFill="1" applyBorder="1"/>
    <xf numFmtId="1" fontId="30" fillId="0" borderId="40" xfId="0" applyNumberFormat="1" applyFont="1" applyFill="1" applyBorder="1"/>
    <xf numFmtId="0" fontId="30" fillId="0" borderId="41" xfId="0" applyFont="1" applyFill="1" applyBorder="1"/>
    <xf numFmtId="0" fontId="30" fillId="0" borderId="42" xfId="0" applyFont="1" applyFill="1" applyBorder="1"/>
    <xf numFmtId="174" fontId="30" fillId="0" borderId="43" xfId="0" applyNumberFormat="1" applyFont="1" applyFill="1" applyBorder="1"/>
    <xf numFmtId="174" fontId="30" fillId="0" borderId="42" xfId="0" applyNumberFormat="1" applyFont="1" applyFill="1" applyBorder="1"/>
    <xf numFmtId="0" fontId="30" fillId="0" borderId="43" xfId="0" applyFont="1" applyFill="1" applyBorder="1"/>
    <xf numFmtId="0" fontId="30" fillId="0" borderId="44" xfId="0" applyFont="1" applyFill="1" applyBorder="1"/>
    <xf numFmtId="0" fontId="30" fillId="0" borderId="45" xfId="0" applyFont="1" applyFill="1" applyBorder="1"/>
    <xf numFmtId="9" fontId="30" fillId="0" borderId="46" xfId="0" applyNumberFormat="1" applyFont="1" applyFill="1" applyBorder="1"/>
    <xf numFmtId="49" fontId="30" fillId="0" borderId="0" xfId="0" applyNumberFormat="1" applyFont="1" applyFill="1" applyBorder="1"/>
    <xf numFmtId="49" fontId="30" fillId="0" borderId="0" xfId="0" applyNumberFormat="1" applyFont="1" applyFill="1" applyBorder="1" applyAlignment="1"/>
    <xf numFmtId="9" fontId="30" fillId="0" borderId="43" xfId="0" applyNumberFormat="1" applyFont="1" applyFill="1" applyBorder="1"/>
    <xf numFmtId="0" fontId="30" fillId="0" borderId="0" xfId="0" applyFont="1" applyFill="1" applyBorder="1"/>
    <xf numFmtId="174" fontId="30" fillId="0" borderId="0" xfId="0" applyNumberFormat="1" applyFont="1" applyFill="1" applyBorder="1"/>
    <xf numFmtId="0" fontId="68" fillId="3" borderId="2" xfId="0" applyFont="1" applyFill="1" applyBorder="1" applyAlignment="1">
      <alignment horizontal="center"/>
    </xf>
    <xf numFmtId="1" fontId="0" fillId="0" borderId="2" xfId="0" applyNumberFormat="1" applyFont="1" applyBorder="1" applyAlignment="1">
      <alignment horizontal="center"/>
    </xf>
    <xf numFmtId="0" fontId="0" fillId="0" borderId="2" xfId="0" applyFont="1" applyBorder="1"/>
    <xf numFmtId="0" fontId="0" fillId="0" borderId="2" xfId="0" applyFont="1" applyBorder="1" applyAlignment="1">
      <alignment horizontal="center"/>
    </xf>
    <xf numFmtId="0" fontId="19" fillId="0" borderId="2" xfId="8" applyFont="1" applyBorder="1" applyAlignment="1">
      <alignment horizontal="center" vertical="center"/>
    </xf>
    <xf numFmtId="0" fontId="21" fillId="0" borderId="0" xfId="11" applyFont="1"/>
    <xf numFmtId="0" fontId="21" fillId="0" borderId="0" xfId="11"/>
    <xf numFmtId="49" fontId="70" fillId="20" borderId="2" xfId="14" applyNumberFormat="1" applyFont="1" applyFill="1" applyBorder="1" applyAlignment="1">
      <alignment horizontal="center" vertical="center" wrapText="1"/>
    </xf>
    <xf numFmtId="49" fontId="70" fillId="21" borderId="2" xfId="14" applyNumberFormat="1" applyFont="1" applyFill="1" applyBorder="1" applyAlignment="1">
      <alignment horizontal="center" vertical="center" wrapText="1"/>
    </xf>
    <xf numFmtId="0" fontId="70" fillId="21" borderId="2" xfId="14" applyFont="1" applyFill="1" applyBorder="1" applyAlignment="1">
      <alignment horizontal="center" vertical="center" wrapText="1"/>
    </xf>
    <xf numFmtId="0" fontId="70" fillId="20" borderId="2" xfId="14" applyFont="1" applyFill="1" applyBorder="1" applyAlignment="1">
      <alignment horizontal="center" vertical="center" wrapText="1"/>
    </xf>
    <xf numFmtId="0" fontId="4" fillId="0" borderId="0" xfId="14" applyAlignment="1">
      <alignment horizontal="center"/>
    </xf>
    <xf numFmtId="49" fontId="71" fillId="0" borderId="2" xfId="14" applyNumberFormat="1" applyFont="1" applyBorder="1" applyAlignment="1">
      <alignment vertical="center" wrapText="1"/>
    </xf>
    <xf numFmtId="0" fontId="71" fillId="0" borderId="2" xfId="14" applyFont="1" applyBorder="1" applyAlignment="1">
      <alignment vertical="center" wrapText="1"/>
    </xf>
    <xf numFmtId="0" fontId="4" fillId="0" borderId="2" xfId="14" applyBorder="1"/>
    <xf numFmtId="0" fontId="4" fillId="0" borderId="0" xfId="14"/>
    <xf numFmtId="0" fontId="72" fillId="0" borderId="0" xfId="15">
      <alignment vertical="center" wrapText="1"/>
    </xf>
    <xf numFmtId="0" fontId="26" fillId="0" borderId="0" xfId="11" applyFont="1" applyAlignment="1">
      <alignment horizontal="left"/>
    </xf>
    <xf numFmtId="0" fontId="24" fillId="3" borderId="2" xfId="4" applyNumberFormat="1" applyFont="1" applyFill="1" applyBorder="1" applyAlignment="1">
      <alignment horizontal="left" vertical="center" wrapText="1"/>
    </xf>
    <xf numFmtId="0" fontId="21" fillId="0" borderId="0" xfId="11" applyFont="1" applyAlignment="1">
      <alignment horizontal="left"/>
    </xf>
    <xf numFmtId="14" fontId="26" fillId="0" borderId="2" xfId="4" applyNumberFormat="1" applyFont="1" applyFill="1" applyBorder="1" applyAlignment="1">
      <alignment horizontal="right" vertical="center" wrapText="1"/>
    </xf>
    <xf numFmtId="0" fontId="3" fillId="0" borderId="0" xfId="11" applyFont="1"/>
    <xf numFmtId="0" fontId="26" fillId="0" borderId="0" xfId="4" applyNumberFormat="1" applyFont="1" applyBorder="1"/>
    <xf numFmtId="0" fontId="71" fillId="0" borderId="2" xfId="14" applyNumberFormat="1" applyFont="1" applyBorder="1" applyAlignment="1">
      <alignment vertical="center" wrapText="1"/>
    </xf>
    <xf numFmtId="0" fontId="60" fillId="22" borderId="47" xfId="11" applyNumberFormat="1" applyFont="1" applyFill="1" applyBorder="1" applyAlignment="1">
      <alignment horizontal="center" vertical="center" wrapText="1"/>
    </xf>
    <xf numFmtId="0" fontId="60" fillId="22" borderId="48" xfId="11" applyNumberFormat="1" applyFont="1" applyFill="1" applyBorder="1" applyAlignment="1">
      <alignment horizontal="center" vertical="center" wrapText="1"/>
    </xf>
    <xf numFmtId="0" fontId="58" fillId="0" borderId="47" xfId="11" quotePrefix="1" applyNumberFormat="1" applyFont="1" applyFill="1" applyBorder="1" applyAlignment="1"/>
    <xf numFmtId="14" fontId="58" fillId="0" borderId="47" xfId="11" applyNumberFormat="1" applyFont="1" applyFill="1" applyBorder="1" applyAlignment="1"/>
    <xf numFmtId="0" fontId="0" fillId="0" borderId="2" xfId="0" applyNumberFormat="1" applyBorder="1"/>
    <xf numFmtId="0" fontId="5" fillId="18" borderId="2" xfId="0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23" borderId="2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/>
    </xf>
    <xf numFmtId="0" fontId="0" fillId="0" borderId="0" xfId="0" quotePrefix="1"/>
    <xf numFmtId="0" fontId="24" fillId="3" borderId="15" xfId="4" applyNumberFormat="1" applyFont="1" applyFill="1" applyBorder="1" applyAlignment="1">
      <alignment horizontal="center" vertical="center" wrapText="1"/>
    </xf>
    <xf numFmtId="0" fontId="0" fillId="0" borderId="2" xfId="0" quotePrefix="1" applyBorder="1"/>
    <xf numFmtId="0" fontId="0" fillId="4" borderId="0" xfId="0" applyFill="1"/>
    <xf numFmtId="0" fontId="73" fillId="0" borderId="0" xfId="8" applyFont="1"/>
    <xf numFmtId="0" fontId="73" fillId="0" borderId="0" xfId="8" applyFont="1" applyAlignment="1">
      <alignment horizontal="center"/>
    </xf>
    <xf numFmtId="0" fontId="24" fillId="3" borderId="2" xfId="4" applyNumberFormat="1" applyFont="1" applyFill="1" applyBorder="1" applyAlignment="1">
      <alignment vertical="center" wrapText="1"/>
    </xf>
    <xf numFmtId="0" fontId="74" fillId="0" borderId="0" xfId="6" applyFont="1"/>
    <xf numFmtId="0" fontId="75" fillId="0" borderId="0" xfId="8" applyFont="1"/>
    <xf numFmtId="0" fontId="76" fillId="0" borderId="0" xfId="8" applyFont="1"/>
    <xf numFmtId="0" fontId="76" fillId="0" borderId="0" xfId="8" applyFont="1" applyAlignment="1">
      <alignment horizontal="center"/>
    </xf>
    <xf numFmtId="2" fontId="74" fillId="0" borderId="0" xfId="6" applyNumberFormat="1" applyFont="1"/>
    <xf numFmtId="49" fontId="74" fillId="0" borderId="0" xfId="6" applyNumberFormat="1" applyFont="1" applyAlignment="1">
      <alignment horizontal="right"/>
    </xf>
    <xf numFmtId="169" fontId="58" fillId="0" borderId="2" xfId="4" applyNumberFormat="1" applyFont="1" applyBorder="1"/>
    <xf numFmtId="0" fontId="0" fillId="0" borderId="2" xfId="0" applyBorder="1" applyAlignment="1">
      <alignment horizontal="right"/>
    </xf>
    <xf numFmtId="0" fontId="3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16" borderId="2" xfId="0" applyFill="1" applyBorder="1" applyAlignment="1">
      <alignment horizontal="right"/>
    </xf>
    <xf numFmtId="0" fontId="77" fillId="0" borderId="0" xfId="8" applyFont="1"/>
    <xf numFmtId="0" fontId="21" fillId="0" borderId="2" xfId="8" applyFont="1" applyBorder="1"/>
    <xf numFmtId="0" fontId="21" fillId="24" borderId="2" xfId="8" applyFont="1" applyFill="1" applyBorder="1"/>
    <xf numFmtId="0" fontId="20" fillId="24" borderId="2" xfId="8" applyFont="1" applyFill="1" applyBorder="1" applyAlignment="1">
      <alignment vertical="center"/>
    </xf>
    <xf numFmtId="0" fontId="0" fillId="0" borderId="0" xfId="0" applyAlignment="1">
      <alignment horizontal="center" wrapText="1"/>
    </xf>
    <xf numFmtId="0" fontId="0" fillId="0" borderId="0" xfId="0" applyAlignment="1"/>
    <xf numFmtId="0" fontId="73" fillId="0" borderId="0" xfId="11" applyFont="1"/>
    <xf numFmtId="0" fontId="31" fillId="0" borderId="0" xfId="14" applyFont="1"/>
    <xf numFmtId="0" fontId="34" fillId="7" borderId="0" xfId="0" applyFont="1" applyFill="1" applyBorder="1" applyAlignment="1">
      <alignment horizontal="center"/>
    </xf>
    <xf numFmtId="14" fontId="77" fillId="0" borderId="0" xfId="11" applyNumberFormat="1" applyFont="1"/>
    <xf numFmtId="0" fontId="77" fillId="0" borderId="0" xfId="11" applyFont="1"/>
    <xf numFmtId="0" fontId="77" fillId="0" borderId="0" xfId="0" applyFont="1"/>
    <xf numFmtId="0" fontId="77" fillId="0" borderId="0" xfId="4" applyNumberFormat="1" applyFont="1" applyBorder="1"/>
    <xf numFmtId="173" fontId="0" fillId="0" borderId="0" xfId="0" applyNumberFormat="1"/>
    <xf numFmtId="0" fontId="0" fillId="0" borderId="0" xfId="0" applyFill="1" applyBorder="1" applyAlignment="1">
      <alignment horizontal="center"/>
    </xf>
    <xf numFmtId="176" fontId="0" fillId="0" borderId="2" xfId="0" applyNumberFormat="1" applyBorder="1"/>
    <xf numFmtId="0" fontId="0" fillId="0" borderId="49" xfId="0" applyBorder="1"/>
    <xf numFmtId="0" fontId="32" fillId="7" borderId="0" xfId="0" applyFont="1" applyFill="1" applyBorder="1" applyProtection="1">
      <protection hidden="1"/>
    </xf>
    <xf numFmtId="0" fontId="33" fillId="7" borderId="0" xfId="0" applyFont="1" applyFill="1" applyAlignment="1" applyProtection="1">
      <alignment horizontal="center"/>
      <protection hidden="1"/>
    </xf>
    <xf numFmtId="0" fontId="33" fillId="7" borderId="0" xfId="0" applyFont="1" applyFill="1" applyProtection="1">
      <protection hidden="1"/>
    </xf>
    <xf numFmtId="0" fontId="7" fillId="0" borderId="0" xfId="0" applyFont="1" applyProtection="1">
      <protection hidden="1"/>
    </xf>
    <xf numFmtId="0" fontId="78" fillId="0" borderId="0" xfId="0" applyFont="1" applyAlignment="1" applyProtection="1">
      <alignment horizontal="left"/>
      <protection hidden="1"/>
    </xf>
    <xf numFmtId="0" fontId="79" fillId="0" borderId="0" xfId="0" applyFont="1" applyAlignment="1" applyProtection="1">
      <alignment horizontal="left"/>
      <protection hidden="1"/>
    </xf>
    <xf numFmtId="0" fontId="7" fillId="0" borderId="0" xfId="0" applyFont="1" applyAlignment="1" applyProtection="1">
      <alignment horizontal="left"/>
      <protection hidden="1"/>
    </xf>
    <xf numFmtId="9" fontId="14" fillId="0" borderId="50" xfId="1" applyFont="1" applyBorder="1" applyAlignment="1" applyProtection="1">
      <alignment horizontal="center"/>
      <protection hidden="1"/>
    </xf>
    <xf numFmtId="2" fontId="0" fillId="0" borderId="0" xfId="0" applyNumberFormat="1"/>
    <xf numFmtId="0" fontId="0" fillId="0" borderId="4" xfId="0" applyBorder="1" applyAlignment="1">
      <alignment horizontal="center"/>
    </xf>
    <xf numFmtId="0" fontId="14" fillId="26" borderId="0" xfId="0" applyFont="1" applyFill="1" applyAlignment="1" applyProtection="1">
      <alignment horizontal="center"/>
      <protection hidden="1"/>
    </xf>
    <xf numFmtId="0" fontId="14" fillId="0" borderId="0" xfId="0" applyFont="1" applyAlignment="1" applyProtection="1">
      <alignment horizontal="center"/>
      <protection hidden="1"/>
    </xf>
    <xf numFmtId="0" fontId="83" fillId="0" borderId="0" xfId="0" applyFont="1"/>
    <xf numFmtId="169" fontId="58" fillId="0" borderId="37" xfId="0" applyNumberFormat="1" applyFont="1" applyFill="1" applyBorder="1" applyAlignment="1"/>
    <xf numFmtId="0" fontId="60" fillId="15" borderId="51" xfId="0" applyNumberFormat="1" applyFont="1" applyFill="1" applyBorder="1" applyAlignment="1">
      <alignment horizontal="center" vertical="center" wrapText="1"/>
    </xf>
    <xf numFmtId="9" fontId="58" fillId="0" borderId="2" xfId="0" applyNumberFormat="1" applyFont="1" applyFill="1" applyBorder="1" applyAlignment="1"/>
    <xf numFmtId="167" fontId="58" fillId="0" borderId="37" xfId="0" applyNumberFormat="1" applyFont="1" applyFill="1" applyBorder="1" applyAlignment="1"/>
    <xf numFmtId="177" fontId="58" fillId="0" borderId="37" xfId="0" applyNumberFormat="1" applyFont="1" applyFill="1" applyBorder="1" applyAlignment="1"/>
    <xf numFmtId="169" fontId="26" fillId="0" borderId="2" xfId="11" applyNumberFormat="1" applyFont="1" applyFill="1" applyBorder="1" applyAlignment="1"/>
    <xf numFmtId="0" fontId="84" fillId="0" borderId="0" xfId="8" applyFont="1"/>
    <xf numFmtId="0" fontId="60" fillId="25" borderId="52" xfId="4" applyNumberFormat="1" applyFont="1" applyFill="1" applyBorder="1" applyAlignment="1">
      <alignment horizontal="center" vertical="center" wrapText="1"/>
    </xf>
    <xf numFmtId="0" fontId="85" fillId="0" borderId="0" xfId="0" applyFont="1"/>
    <xf numFmtId="0" fontId="58" fillId="0" borderId="52" xfId="4" applyNumberFormat="1" applyFont="1" applyBorder="1"/>
    <xf numFmtId="0" fontId="86" fillId="0" borderId="0" xfId="8" applyFont="1"/>
    <xf numFmtId="0" fontId="58" fillId="19" borderId="52" xfId="4" applyNumberFormat="1" applyFont="1" applyFill="1" applyBorder="1"/>
    <xf numFmtId="0" fontId="87" fillId="0" borderId="0" xfId="0" applyFont="1"/>
    <xf numFmtId="0" fontId="88" fillId="0" borderId="0" xfId="0" applyFont="1"/>
    <xf numFmtId="167" fontId="26" fillId="0" borderId="2" xfId="4" applyNumberFormat="1" applyFont="1" applyBorder="1"/>
    <xf numFmtId="175" fontId="84" fillId="0" borderId="0" xfId="13" applyNumberFormat="1" applyFont="1" applyAlignment="1">
      <alignment horizontal="center"/>
    </xf>
    <xf numFmtId="0" fontId="83" fillId="0" borderId="0" xfId="14" applyFont="1"/>
    <xf numFmtId="0" fontId="21" fillId="0" borderId="2" xfId="11" applyBorder="1"/>
    <xf numFmtId="14" fontId="21" fillId="0" borderId="2" xfId="11" applyNumberFormat="1" applyBorder="1"/>
    <xf numFmtId="0" fontId="89" fillId="0" borderId="0" xfId="11" applyFont="1"/>
    <xf numFmtId="167" fontId="0" fillId="0" borderId="0" xfId="16" applyNumberFormat="1" applyFont="1"/>
    <xf numFmtId="176" fontId="26" fillId="0" borderId="2" xfId="4" applyNumberFormat="1" applyFont="1" applyBorder="1"/>
    <xf numFmtId="0" fontId="0" fillId="5" borderId="0" xfId="0" applyFill="1"/>
    <xf numFmtId="0" fontId="90" fillId="0" borderId="0" xfId="0" applyFont="1" applyProtection="1">
      <protection hidden="1"/>
    </xf>
    <xf numFmtId="0" fontId="90" fillId="0" borderId="0" xfId="0" applyFont="1" applyAlignment="1" applyProtection="1">
      <alignment horizontal="center"/>
      <protection hidden="1"/>
    </xf>
    <xf numFmtId="0" fontId="91" fillId="0" borderId="0" xfId="0" applyFont="1" applyProtection="1">
      <protection hidden="1"/>
    </xf>
    <xf numFmtId="9" fontId="92" fillId="0" borderId="0" xfId="0" applyNumberFormat="1" applyFont="1" applyAlignment="1" applyProtection="1">
      <alignment horizontal="center"/>
      <protection hidden="1"/>
    </xf>
    <xf numFmtId="0" fontId="91" fillId="0" borderId="53" xfId="0" applyFont="1" applyBorder="1" applyProtection="1">
      <protection hidden="1"/>
    </xf>
    <xf numFmtId="0" fontId="91" fillId="0" borderId="53" xfId="0" applyFont="1" applyBorder="1" applyAlignment="1" applyProtection="1">
      <alignment horizontal="center"/>
      <protection locked="0" hidden="1"/>
    </xf>
    <xf numFmtId="0" fontId="91" fillId="0" borderId="12" xfId="0" applyFont="1" applyBorder="1" applyProtection="1">
      <protection hidden="1"/>
    </xf>
    <xf numFmtId="0" fontId="91" fillId="0" borderId="12" xfId="0" applyFont="1" applyBorder="1" applyAlignment="1" applyProtection="1">
      <alignment horizontal="center"/>
      <protection locked="0" hidden="1"/>
    </xf>
    <xf numFmtId="0" fontId="91" fillId="0" borderId="0" xfId="0" applyFont="1" applyAlignment="1" applyProtection="1">
      <alignment horizontal="center"/>
      <protection hidden="1"/>
    </xf>
    <xf numFmtId="0" fontId="90" fillId="0" borderId="0" xfId="0" applyFont="1" applyAlignment="1" applyProtection="1">
      <protection hidden="1"/>
    </xf>
    <xf numFmtId="2" fontId="92" fillId="0" borderId="0" xfId="0" applyNumberFormat="1" applyFont="1" applyAlignment="1" applyProtection="1">
      <alignment horizontal="center"/>
      <protection hidden="1"/>
    </xf>
    <xf numFmtId="0" fontId="93" fillId="0" borderId="0" xfId="0" applyFont="1" applyProtection="1">
      <protection hidden="1"/>
    </xf>
    <xf numFmtId="0" fontId="94" fillId="0" borderId="0" xfId="0" applyFont="1" applyProtection="1">
      <protection hidden="1"/>
    </xf>
    <xf numFmtId="0" fontId="95" fillId="0" borderId="0" xfId="0" applyFont="1" applyProtection="1">
      <protection hidden="1"/>
    </xf>
    <xf numFmtId="0" fontId="96" fillId="0" borderId="4" xfId="0" applyFont="1" applyBorder="1" applyProtection="1">
      <protection hidden="1"/>
    </xf>
    <xf numFmtId="9" fontId="92" fillId="0" borderId="4" xfId="0" applyNumberFormat="1" applyFont="1" applyBorder="1" applyAlignment="1" applyProtection="1">
      <alignment horizontal="center"/>
      <protection hidden="1"/>
    </xf>
    <xf numFmtId="0" fontId="97" fillId="0" borderId="4" xfId="0" applyFont="1" applyBorder="1" applyProtection="1">
      <protection hidden="1"/>
    </xf>
    <xf numFmtId="9" fontId="97" fillId="0" borderId="4" xfId="1" applyFont="1" applyBorder="1" applyProtection="1">
      <protection hidden="1"/>
    </xf>
    <xf numFmtId="0" fontId="100" fillId="27" borderId="0" xfId="0" applyFont="1" applyFill="1"/>
    <xf numFmtId="0" fontId="99" fillId="27" borderId="0" xfId="0" applyFont="1" applyFill="1"/>
    <xf numFmtId="0" fontId="0" fillId="4" borderId="9" xfId="0" applyFill="1" applyBorder="1" applyAlignment="1">
      <alignment horizontal="left" vertical="center"/>
    </xf>
    <xf numFmtId="0" fontId="0" fillId="4" borderId="10" xfId="0" applyFill="1" applyBorder="1" applyAlignment="1">
      <alignment horizontal="left" vertical="center"/>
    </xf>
    <xf numFmtId="170" fontId="26" fillId="0" borderId="2" xfId="4" applyNumberFormat="1" applyFont="1" applyBorder="1"/>
    <xf numFmtId="0" fontId="0" fillId="0" borderId="54" xfId="0" applyFill="1" applyBorder="1"/>
    <xf numFmtId="0" fontId="26" fillId="0" borderId="54" xfId="4" applyNumberFormat="1" applyFont="1" applyFill="1" applyBorder="1"/>
    <xf numFmtId="0" fontId="5" fillId="0" borderId="0" xfId="0" applyFont="1"/>
    <xf numFmtId="0" fontId="20" fillId="0" borderId="0" xfId="8" applyFont="1"/>
    <xf numFmtId="0" fontId="21" fillId="0" borderId="2" xfId="11" applyFont="1" applyBorder="1"/>
    <xf numFmtId="14" fontId="20" fillId="0" borderId="2" xfId="11" applyNumberFormat="1" applyFont="1" applyBorder="1"/>
    <xf numFmtId="14" fontId="101" fillId="0" borderId="0" xfId="11" applyNumberFormat="1" applyFont="1" applyAlignment="1">
      <alignment horizontal="left"/>
    </xf>
    <xf numFmtId="0" fontId="101" fillId="0" borderId="0" xfId="11" applyFont="1"/>
    <xf numFmtId="0" fontId="55" fillId="19" borderId="0" xfId="8" applyFill="1"/>
    <xf numFmtId="0" fontId="0" fillId="19" borderId="0" xfId="0" applyFill="1"/>
    <xf numFmtId="0" fontId="21" fillId="19" borderId="0" xfId="11" applyFont="1" applyFill="1"/>
    <xf numFmtId="0" fontId="25" fillId="19" borderId="0" xfId="0" applyFont="1" applyFill="1" applyBorder="1" applyAlignment="1">
      <alignment vertical="center"/>
    </xf>
    <xf numFmtId="0" fontId="36" fillId="19" borderId="0" xfId="5" applyFont="1" applyFill="1"/>
    <xf numFmtId="0" fontId="58" fillId="19" borderId="0" xfId="8" applyFont="1" applyFill="1"/>
    <xf numFmtId="0" fontId="59" fillId="19" borderId="0" xfId="8" applyFont="1" applyFill="1"/>
    <xf numFmtId="0" fontId="56" fillId="19" borderId="0" xfId="8" applyFont="1" applyFill="1"/>
    <xf numFmtId="0" fontId="102" fillId="0" borderId="0" xfId="10" applyFont="1" applyFill="1" applyBorder="1"/>
    <xf numFmtId="0" fontId="103" fillId="0" borderId="0" xfId="8" applyFont="1"/>
    <xf numFmtId="0" fontId="0" fillId="28" borderId="54" xfId="0" applyFill="1" applyBorder="1"/>
    <xf numFmtId="0" fontId="26" fillId="28" borderId="54" xfId="4" applyNumberFormat="1" applyFont="1" applyFill="1" applyBorder="1"/>
    <xf numFmtId="0" fontId="104" fillId="0" borderId="0" xfId="0" applyFont="1" applyAlignment="1">
      <alignment horizontal="center" vertical="center"/>
    </xf>
    <xf numFmtId="0" fontId="26" fillId="3" borderId="2" xfId="4" applyNumberFormat="1" applyFont="1" applyFill="1" applyBorder="1" applyAlignment="1">
      <alignment horizontal="left" vertical="center"/>
    </xf>
    <xf numFmtId="0" fontId="26" fillId="3" borderId="2" xfId="4" applyNumberFormat="1" applyFont="1" applyFill="1" applyBorder="1" applyAlignment="1">
      <alignment horizontal="left" vertical="center" wrapText="1"/>
    </xf>
    <xf numFmtId="0" fontId="26" fillId="0" borderId="0" xfId="8" applyFont="1" applyAlignment="1">
      <alignment horizontal="left"/>
    </xf>
    <xf numFmtId="0" fontId="0" fillId="0" borderId="0" xfId="0" applyProtection="1">
      <protection hidden="1"/>
    </xf>
    <xf numFmtId="0" fontId="0" fillId="5" borderId="0" xfId="0" applyFill="1" applyProtection="1">
      <protection hidden="1"/>
    </xf>
    <xf numFmtId="0" fontId="82" fillId="0" borderId="0" xfId="0" applyFont="1" applyAlignment="1" applyProtection="1">
      <alignment horizontal="centerContinuous"/>
      <protection hidden="1"/>
    </xf>
    <xf numFmtId="0" fontId="0" fillId="0" borderId="0" xfId="0" applyAlignment="1" applyProtection="1">
      <alignment horizontal="centerContinuous"/>
      <protection hidden="1"/>
    </xf>
    <xf numFmtId="0" fontId="81" fillId="19" borderId="0" xfId="0" applyFont="1" applyFill="1" applyProtection="1">
      <protection hidden="1"/>
    </xf>
    <xf numFmtId="0" fontId="80" fillId="26" borderId="0" xfId="0" applyFont="1" applyFill="1" applyAlignment="1" applyProtection="1">
      <alignment horizontal="center"/>
      <protection hidden="1"/>
    </xf>
    <xf numFmtId="0" fontId="69" fillId="0" borderId="0" xfId="0" applyFont="1" applyAlignment="1" applyProtection="1">
      <alignment horizontal="center"/>
      <protection hidden="1"/>
    </xf>
    <xf numFmtId="9" fontId="0" fillId="0" borderId="0" xfId="1" applyFont="1" applyProtection="1">
      <protection hidden="1"/>
    </xf>
    <xf numFmtId="9" fontId="0" fillId="0" borderId="0" xfId="0" applyNumberFormat="1" applyProtection="1">
      <protection hidden="1"/>
    </xf>
    <xf numFmtId="0" fontId="105" fillId="0" borderId="0" xfId="8" applyFont="1"/>
    <xf numFmtId="0" fontId="106" fillId="0" borderId="0" xfId="8" applyFont="1"/>
    <xf numFmtId="14" fontId="71" fillId="0" borderId="2" xfId="14" applyNumberFormat="1" applyFont="1" applyBorder="1" applyAlignment="1">
      <alignment vertical="center" wrapText="1"/>
    </xf>
    <xf numFmtId="0" fontId="5" fillId="0" borderId="0" xfId="14" applyFont="1"/>
    <xf numFmtId="0" fontId="70" fillId="29" borderId="2" xfId="14" applyFont="1" applyFill="1" applyBorder="1" applyAlignment="1">
      <alignment horizontal="center" vertical="center" wrapText="1"/>
    </xf>
    <xf numFmtId="0" fontId="11" fillId="2" borderId="0" xfId="3" applyFill="1"/>
    <xf numFmtId="0" fontId="0" fillId="0" borderId="0" xfId="14" applyFont="1"/>
    <xf numFmtId="0" fontId="0" fillId="19" borderId="55" xfId="0" applyFill="1" applyBorder="1"/>
    <xf numFmtId="0" fontId="0" fillId="0" borderId="55" xfId="0" applyBorder="1"/>
    <xf numFmtId="0" fontId="55" fillId="19" borderId="0" xfId="8" applyFill="1" applyBorder="1"/>
    <xf numFmtId="0" fontId="58" fillId="19" borderId="0" xfId="8" applyFont="1" applyFill="1" applyBorder="1"/>
    <xf numFmtId="0" fontId="59" fillId="19" borderId="0" xfId="8" applyFont="1" applyFill="1" applyBorder="1"/>
    <xf numFmtId="0" fontId="0" fillId="19" borderId="0" xfId="0" applyFill="1" applyBorder="1"/>
    <xf numFmtId="0" fontId="36" fillId="19" borderId="0" xfId="5" applyFont="1" applyFill="1" applyBorder="1"/>
    <xf numFmtId="0" fontId="56" fillId="19" borderId="0" xfId="8" applyFont="1" applyFill="1" applyBorder="1"/>
    <xf numFmtId="0" fontId="0" fillId="19" borderId="56" xfId="0" applyFill="1" applyBorder="1"/>
    <xf numFmtId="0" fontId="0" fillId="0" borderId="56" xfId="0" applyBorder="1"/>
    <xf numFmtId="0" fontId="0" fillId="19" borderId="57" xfId="0" applyFill="1" applyBorder="1"/>
    <xf numFmtId="0" fontId="0" fillId="19" borderId="58" xfId="0" applyFill="1" applyBorder="1"/>
    <xf numFmtId="0" fontId="0" fillId="19" borderId="59" xfId="0" applyFill="1" applyBorder="1"/>
    <xf numFmtId="0" fontId="0" fillId="19" borderId="60" xfId="0" applyFill="1" applyBorder="1"/>
    <xf numFmtId="0" fontId="0" fillId="19" borderId="61" xfId="0" applyFill="1" applyBorder="1"/>
    <xf numFmtId="0" fontId="0" fillId="19" borderId="62" xfId="0" applyFill="1" applyBorder="1"/>
    <xf numFmtId="0" fontId="0" fillId="19" borderId="63" xfId="0" applyFill="1" applyBorder="1"/>
    <xf numFmtId="0" fontId="0" fillId="19" borderId="64" xfId="0" applyFill="1" applyBorder="1"/>
    <xf numFmtId="179" fontId="26" fillId="0" borderId="2" xfId="4" applyNumberFormat="1" applyFont="1" applyBorder="1"/>
    <xf numFmtId="22" fontId="21" fillId="0" borderId="0" xfId="11" applyNumberFormat="1" applyFont="1" applyAlignment="1">
      <alignment horizontal="left"/>
    </xf>
    <xf numFmtId="49" fontId="71" fillId="4" borderId="2" xfId="14" applyNumberFormat="1" applyFont="1" applyFill="1" applyBorder="1" applyAlignment="1">
      <alignment vertical="center" wrapText="1"/>
    </xf>
    <xf numFmtId="0" fontId="26" fillId="0" borderId="0" xfId="8" applyFont="1" applyFill="1" applyBorder="1"/>
    <xf numFmtId="0" fontId="3" fillId="0" borderId="0" xfId="0" applyFont="1"/>
    <xf numFmtId="0" fontId="37" fillId="0" borderId="0" xfId="0" applyFont="1" applyBorder="1" applyAlignment="1"/>
    <xf numFmtId="0" fontId="109" fillId="0" borderId="0" xfId="0" applyFont="1"/>
    <xf numFmtId="0" fontId="26" fillId="19" borderId="0" xfId="11" applyFont="1" applyFill="1"/>
    <xf numFmtId="0" fontId="3" fillId="19" borderId="0" xfId="11" applyFont="1" applyFill="1"/>
    <xf numFmtId="0" fontId="11" fillId="0" borderId="0" xfId="3"/>
    <xf numFmtId="0" fontId="2" fillId="0" borderId="0" xfId="8" applyFont="1"/>
    <xf numFmtId="0" fontId="2" fillId="0" borderId="0" xfId="11" applyFont="1"/>
    <xf numFmtId="0" fontId="69" fillId="0" borderId="0" xfId="0" applyFont="1"/>
    <xf numFmtId="0" fontId="8" fillId="2" borderId="0" xfId="2" applyFont="1" applyFill="1" applyAlignment="1">
      <alignment horizontal="left"/>
    </xf>
    <xf numFmtId="0" fontId="9" fillId="2" borderId="0" xfId="2" applyFont="1" applyFill="1" applyAlignment="1">
      <alignment horizontal="left" vertical="top" wrapText="1"/>
    </xf>
    <xf numFmtId="0" fontId="10" fillId="2" borderId="0" xfId="0" applyFont="1" applyFill="1" applyAlignment="1">
      <alignment horizontal="left" vertical="top" wrapText="1"/>
    </xf>
    <xf numFmtId="0" fontId="7" fillId="2" borderId="1" xfId="2" applyFont="1" applyFill="1" applyBorder="1" applyAlignment="1">
      <alignment horizontal="left"/>
    </xf>
    <xf numFmtId="0" fontId="98" fillId="2" borderId="0" xfId="2" applyFont="1" applyFill="1" applyAlignment="1">
      <alignment horizontal="left" indent="1"/>
    </xf>
    <xf numFmtId="0" fontId="62" fillId="2" borderId="0" xfId="2" applyFont="1" applyFill="1" applyAlignment="1">
      <alignment horizontal="left" indent="1"/>
    </xf>
    <xf numFmtId="0" fontId="12" fillId="2" borderId="0" xfId="2" applyFont="1" applyFill="1" applyAlignment="1">
      <alignment horizontal="left" vertical="top"/>
    </xf>
    <xf numFmtId="0" fontId="13" fillId="2" borderId="0" xfId="2" applyFont="1" applyFill="1" applyAlignment="1">
      <alignment horizontal="left"/>
    </xf>
    <xf numFmtId="0" fontId="18" fillId="4" borderId="2" xfId="0" applyFont="1" applyFill="1" applyBorder="1" applyAlignment="1">
      <alignment horizontal="center"/>
    </xf>
    <xf numFmtId="9" fontId="24" fillId="3" borderId="15" xfId="4" applyNumberFormat="1" applyFont="1" applyFill="1" applyBorder="1" applyAlignment="1">
      <alignment horizontal="center" vertical="center" wrapText="1"/>
    </xf>
    <xf numFmtId="9" fontId="24" fillId="3" borderId="16" xfId="4" applyNumberFormat="1" applyFont="1" applyFill="1" applyBorder="1" applyAlignment="1">
      <alignment horizontal="center" vertical="center" wrapText="1"/>
    </xf>
    <xf numFmtId="9" fontId="24" fillId="3" borderId="17" xfId="4" applyNumberFormat="1" applyFont="1" applyFill="1" applyBorder="1" applyAlignment="1">
      <alignment horizontal="center" vertical="center" wrapText="1"/>
    </xf>
    <xf numFmtId="0" fontId="24" fillId="3" borderId="14" xfId="4" applyNumberFormat="1" applyFont="1" applyFill="1" applyBorder="1" applyAlignment="1">
      <alignment horizontal="center" vertical="center" wrapText="1"/>
    </xf>
    <xf numFmtId="0" fontId="24" fillId="3" borderId="18" xfId="4" applyNumberFormat="1" applyFont="1" applyFill="1" applyBorder="1" applyAlignment="1">
      <alignment horizontal="center" vertical="center" wrapText="1"/>
    </xf>
    <xf numFmtId="0" fontId="5" fillId="9" borderId="2" xfId="0" applyFont="1" applyFill="1" applyBorder="1" applyAlignment="1">
      <alignment horizontal="center" vertical="center" textRotation="90" wrapText="1"/>
    </xf>
    <xf numFmtId="0" fontId="5" fillId="9" borderId="2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/>
    </xf>
    <xf numFmtId="0" fontId="5" fillId="12" borderId="26" xfId="0" applyFont="1" applyFill="1" applyBorder="1" applyAlignment="1">
      <alignment horizontal="center"/>
    </xf>
    <xf numFmtId="0" fontId="5" fillId="12" borderId="27" xfId="0" applyFont="1" applyFill="1" applyBorder="1" applyAlignment="1">
      <alignment horizontal="center"/>
    </xf>
    <xf numFmtId="0" fontId="5" fillId="12" borderId="28" xfId="0" applyFont="1" applyFill="1" applyBorder="1" applyAlignment="1">
      <alignment horizontal="center"/>
    </xf>
    <xf numFmtId="0" fontId="5" fillId="9" borderId="29" xfId="0" applyFont="1" applyFill="1" applyBorder="1" applyAlignment="1">
      <alignment horizontal="center" vertical="center" wrapText="1"/>
    </xf>
    <xf numFmtId="0" fontId="5" fillId="9" borderId="30" xfId="0" applyFont="1" applyFill="1" applyBorder="1" applyAlignment="1">
      <alignment horizontal="center" vertical="center" wrapText="1"/>
    </xf>
    <xf numFmtId="0" fontId="0" fillId="13" borderId="26" xfId="0" applyFill="1" applyBorder="1" applyAlignment="1">
      <alignment horizontal="center"/>
    </xf>
    <xf numFmtId="0" fontId="0" fillId="13" borderId="27" xfId="0" applyFill="1" applyBorder="1" applyAlignment="1">
      <alignment horizontal="center"/>
    </xf>
    <xf numFmtId="0" fontId="0" fillId="13" borderId="28" xfId="0" applyFill="1" applyBorder="1" applyAlignment="1">
      <alignment horizontal="center"/>
    </xf>
    <xf numFmtId="0" fontId="0" fillId="0" borderId="0" xfId="0" applyAlignment="1">
      <alignment horizontal="center" wrapText="1"/>
    </xf>
    <xf numFmtId="0" fontId="69" fillId="0" borderId="19" xfId="0" applyFont="1" applyBorder="1" applyAlignment="1">
      <alignment horizontal="left" vertical="center" wrapText="1"/>
    </xf>
    <xf numFmtId="0" fontId="69" fillId="0" borderId="20" xfId="0" applyFont="1" applyBorder="1" applyAlignment="1">
      <alignment horizontal="left" vertical="center" wrapText="1"/>
    </xf>
    <xf numFmtId="0" fontId="69" fillId="0" borderId="21" xfId="0" applyFont="1" applyBorder="1" applyAlignment="1">
      <alignment horizontal="left" vertical="center" wrapText="1"/>
    </xf>
    <xf numFmtId="0" fontId="69" fillId="0" borderId="22" xfId="0" applyFont="1" applyBorder="1" applyAlignment="1">
      <alignment horizontal="left" vertical="center" wrapText="1"/>
    </xf>
    <xf numFmtId="0" fontId="69" fillId="0" borderId="0" xfId="0" applyFont="1" applyBorder="1" applyAlignment="1">
      <alignment horizontal="left" vertical="center" wrapText="1"/>
    </xf>
    <xf numFmtId="0" fontId="69" fillId="0" borderId="23" xfId="0" applyFont="1" applyBorder="1" applyAlignment="1">
      <alignment horizontal="left" vertical="center" wrapText="1"/>
    </xf>
    <xf numFmtId="0" fontId="69" fillId="0" borderId="24" xfId="0" applyFont="1" applyBorder="1" applyAlignment="1">
      <alignment horizontal="left" vertical="center" wrapText="1"/>
    </xf>
    <xf numFmtId="0" fontId="69" fillId="0" borderId="1" xfId="0" applyFont="1" applyBorder="1" applyAlignment="1">
      <alignment horizontal="left" vertical="center" wrapText="1"/>
    </xf>
    <xf numFmtId="0" fontId="69" fillId="0" borderId="25" xfId="0" applyFont="1" applyBorder="1" applyAlignment="1">
      <alignment horizontal="left" vertical="center" wrapText="1"/>
    </xf>
    <xf numFmtId="0" fontId="68" fillId="3" borderId="15" xfId="0" applyFont="1" applyFill="1" applyBorder="1" applyAlignment="1">
      <alignment horizontal="center"/>
    </xf>
    <xf numFmtId="0" fontId="68" fillId="3" borderId="16" xfId="0" applyFont="1" applyFill="1" applyBorder="1" applyAlignment="1">
      <alignment horizontal="center"/>
    </xf>
    <xf numFmtId="0" fontId="68" fillId="3" borderId="17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6" fillId="0" borderId="2" xfId="6" applyNumberFormat="1" applyFont="1" applyFill="1" applyBorder="1" applyAlignment="1">
      <alignment horizontal="left"/>
    </xf>
    <xf numFmtId="0" fontId="19" fillId="0" borderId="2" xfId="8" applyFont="1" applyBorder="1" applyAlignment="1">
      <alignment horizontal="center" vertical="center"/>
    </xf>
    <xf numFmtId="0" fontId="5" fillId="4" borderId="15" xfId="0" applyFont="1" applyFill="1" applyBorder="1" applyAlignment="1">
      <alignment horizontal="center"/>
    </xf>
    <xf numFmtId="0" fontId="5" fillId="4" borderId="16" xfId="0" applyFont="1" applyFill="1" applyBorder="1" applyAlignment="1">
      <alignment horizontal="center"/>
    </xf>
    <xf numFmtId="0" fontId="5" fillId="4" borderId="17" xfId="0" applyFont="1" applyFill="1" applyBorder="1" applyAlignment="1">
      <alignment horizontal="center"/>
    </xf>
    <xf numFmtId="0" fontId="26" fillId="0" borderId="2" xfId="4" quotePrefix="1" applyNumberFormat="1" applyFont="1" applyBorder="1"/>
    <xf numFmtId="49" fontId="26" fillId="0" borderId="2" xfId="6" applyNumberFormat="1" applyFont="1" applyFill="1" applyBorder="1"/>
    <xf numFmtId="0" fontId="11" fillId="0" borderId="2" xfId="3" applyBorder="1"/>
    <xf numFmtId="1" fontId="26" fillId="0" borderId="2" xfId="4" applyNumberFormat="1" applyFont="1" applyBorder="1"/>
    <xf numFmtId="2" fontId="0" fillId="0" borderId="2" xfId="0" applyNumberFormat="1" applyBorder="1" applyAlignment="1">
      <alignment horizontal="center"/>
    </xf>
    <xf numFmtId="2" fontId="0" fillId="0" borderId="2" xfId="0" applyNumberFormat="1" applyBorder="1"/>
  </cellXfs>
  <cellStyles count="17">
    <cellStyle name="Гиперссылка" xfId="3" builtinId="8"/>
    <cellStyle name="Обычный" xfId="0" builtinId="0"/>
    <cellStyle name="Обычный 2" xfId="2" xr:uid="{00000000-0005-0000-0000-000002000000}"/>
    <cellStyle name="Обычный 2 2" xfId="10" xr:uid="{00000000-0005-0000-0000-000003000000}"/>
    <cellStyle name="Обычный 4" xfId="5" xr:uid="{00000000-0005-0000-0000-000004000000}"/>
    <cellStyle name="Обычный 5" xfId="8" xr:uid="{00000000-0005-0000-0000-000005000000}"/>
    <cellStyle name="Обычный 5 2" xfId="14" xr:uid="{00000000-0005-0000-0000-000006000000}"/>
    <cellStyle name="Обычный 6" xfId="11" xr:uid="{00000000-0005-0000-0000-000007000000}"/>
    <cellStyle name="Обычный 7" xfId="15" xr:uid="{00000000-0005-0000-0000-000008000000}"/>
    <cellStyle name="Обычный_функции ДАТА и ЕСЛИ" xfId="9" xr:uid="{00000000-0005-0000-0000-00000A000000}"/>
    <cellStyle name="Обычный_Функции ЕСЛИ и ВПР" xfId="6" xr:uid="{00000000-0005-0000-0000-00000B000000}"/>
    <cellStyle name="Обычный_DHL" xfId="4" xr:uid="{00000000-0005-0000-0000-000009000000}"/>
    <cellStyle name="Процентный" xfId="1" builtinId="5"/>
    <cellStyle name="Процентный 2" xfId="7" xr:uid="{00000000-0005-0000-0000-00000D000000}"/>
    <cellStyle name="Финансовый" xfId="16" builtinId="3"/>
    <cellStyle name="Финансовый 2" xfId="12" xr:uid="{00000000-0005-0000-0000-00000F000000}"/>
    <cellStyle name="Финансовый 2 2" xfId="13" xr:uid="{00000000-0005-0000-0000-000010000000}"/>
  </cellStyles>
  <dxfs count="119"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ill>
        <patternFill>
          <bgColor rgb="FF5ED061"/>
        </patternFill>
      </fill>
    </dxf>
    <dxf>
      <font>
        <b/>
        <i val="0"/>
        <color theme="0"/>
      </font>
      <fill>
        <patternFill>
          <bgColor rgb="FFCF321B"/>
        </patternFill>
      </fill>
    </dxf>
    <dxf>
      <font>
        <b/>
        <i val="0"/>
        <color rgb="FFCF321B"/>
      </font>
    </dxf>
    <dxf>
      <font>
        <b/>
        <i val="0"/>
        <color rgb="FFEEBD25"/>
      </font>
    </dxf>
    <dxf>
      <font>
        <b/>
        <i val="0"/>
        <color rgb="FF5ED061"/>
      </font>
    </dxf>
  </dxfs>
  <tableStyles count="0" defaultTableStyle="TableStyleMedium2" defaultPivotStyle="PivotStyleLight16"/>
  <colors>
    <mruColors>
      <color rgb="FFFF6600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KPI_Слушателя!$E$6:$E$13</c:f>
              <c:strCache>
                <c:ptCount val="8"/>
                <c:pt idx="0">
                  <c:v>Операторы, ссылки и связи</c:v>
                </c:pt>
                <c:pt idx="1">
                  <c:v>Имена в эксель</c:v>
                </c:pt>
                <c:pt idx="2">
                  <c:v>Математические функции</c:v>
                </c:pt>
                <c:pt idx="3">
                  <c:v>Ссылки и массивы</c:v>
                </c:pt>
                <c:pt idx="4">
                  <c:v>Логические фукнции</c:v>
                </c:pt>
                <c:pt idx="5">
                  <c:v>Текстовые функции</c:v>
                </c:pt>
                <c:pt idx="6">
                  <c:v>Функции даты</c:v>
                </c:pt>
                <c:pt idx="7">
                  <c:v>Виды ошибок в эксель</c:v>
                </c:pt>
              </c:strCache>
            </c:strRef>
          </c:cat>
          <c:val>
            <c:numRef>
              <c:f>KPI_Слушателя!$H$6:$H$13</c:f>
              <c:numCache>
                <c:formatCode>0%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D0-43C7-B3D5-E212FE82EDAF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KPI_Слушателя!$E$6:$E$13</c:f>
              <c:strCache>
                <c:ptCount val="8"/>
                <c:pt idx="0">
                  <c:v>Операторы, ссылки и связи</c:v>
                </c:pt>
                <c:pt idx="1">
                  <c:v>Имена в эксель</c:v>
                </c:pt>
                <c:pt idx="2">
                  <c:v>Математические функции</c:v>
                </c:pt>
                <c:pt idx="3">
                  <c:v>Ссылки и массивы</c:v>
                </c:pt>
                <c:pt idx="4">
                  <c:v>Логические фукнции</c:v>
                </c:pt>
                <c:pt idx="5">
                  <c:v>Текстовые функции</c:v>
                </c:pt>
                <c:pt idx="6">
                  <c:v>Функции даты</c:v>
                </c:pt>
                <c:pt idx="7">
                  <c:v>Виды ошибок в эксель</c:v>
                </c:pt>
              </c:strCache>
            </c:strRef>
          </c:cat>
          <c:val>
            <c:numRef>
              <c:f>KPI_Слушателя!$I$6:$I$13</c:f>
              <c:numCache>
                <c:formatCode>0%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B1-48EC-993E-733CB36D3DF5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74063056"/>
        <c:axId val="374065800"/>
      </c:barChart>
      <c:catAx>
        <c:axId val="374063056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4065800"/>
        <c:crosses val="autoZero"/>
        <c:auto val="1"/>
        <c:lblAlgn val="ctr"/>
        <c:lblOffset val="100"/>
        <c:noMultiLvlLbl val="0"/>
      </c:catAx>
      <c:valAx>
        <c:axId val="374065800"/>
        <c:scaling>
          <c:orientation val="minMax"/>
          <c:max val="1"/>
        </c:scaling>
        <c:delete val="1"/>
        <c:axPos val="t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37406305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/>
              <a:t>Прогресс выполнения всех учебных</a:t>
            </a:r>
            <a:r>
              <a:rPr lang="ru-RU" baseline="0"/>
              <a:t> </a:t>
            </a:r>
            <a:r>
              <a:rPr lang="ru-RU"/>
              <a:t>заданий </a:t>
            </a:r>
          </a:p>
        </c:rich>
      </c:tx>
      <c:layout>
        <c:manualLayout>
          <c:xMode val="edge"/>
          <c:yMode val="edge"/>
          <c:x val="0.283174847529792"/>
          <c:y val="7.60016357307427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4AD-4AE9-B8B5-E2E670E871C0}"/>
              </c:ext>
            </c:extLst>
          </c:dPt>
          <c:cat>
            <c:strRef>
              <c:f>KPI_Слушателя!$B$4</c:f>
              <c:strCache>
                <c:ptCount val="1"/>
                <c:pt idx="0">
                  <c:v>Все задания</c:v>
                </c:pt>
              </c:strCache>
            </c:strRef>
          </c:cat>
          <c:val>
            <c:numRef>
              <c:f>KPI_Слушателя!$D$31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AD-4AE9-B8B5-E2E670E871C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84AD-4AE9-B8B5-E2E670E871C0}"/>
              </c:ext>
            </c:extLst>
          </c:dPt>
          <c:cat>
            <c:strRef>
              <c:f>KPI_Слушателя!$B$4</c:f>
              <c:strCache>
                <c:ptCount val="1"/>
                <c:pt idx="0">
                  <c:v>Все задания</c:v>
                </c:pt>
              </c:strCache>
            </c:strRef>
          </c:cat>
          <c:val>
            <c:numRef>
              <c:f>KPI_Слушателя!$E$31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AD-4AE9-B8B5-E2E670E871C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4AD-4AE9-B8B5-E2E670E871C0}"/>
              </c:ext>
            </c:extLst>
          </c:dPt>
          <c:cat>
            <c:strRef>
              <c:f>KPI_Слушателя!$B$4</c:f>
              <c:strCache>
                <c:ptCount val="1"/>
                <c:pt idx="0">
                  <c:v>Все задания</c:v>
                </c:pt>
              </c:strCache>
            </c:strRef>
          </c:cat>
          <c:val>
            <c:numRef>
              <c:f>KPI_Слушателя!$F$31</c:f>
              <c:numCache>
                <c:formatCode>0%</c:formatCode>
                <c:ptCount val="1"/>
                <c:pt idx="0">
                  <c:v>0.97058823529411764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4AD-4AE9-B8B5-E2E670E871C0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84AD-4AE9-B8B5-E2E670E871C0}"/>
              </c:ext>
            </c:extLst>
          </c:dPt>
          <c:cat>
            <c:strRef>
              <c:f>KPI_Слушателя!$B$4</c:f>
              <c:strCache>
                <c:ptCount val="1"/>
                <c:pt idx="0">
                  <c:v>Все задания</c:v>
                </c:pt>
              </c:strCache>
            </c:strRef>
          </c:cat>
          <c:val>
            <c:numRef>
              <c:f>KPI_Слушателя!$G$31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4AD-4AE9-B8B5-E2E670E87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9"/>
        <c:overlap val="100"/>
        <c:axId val="374064232"/>
        <c:axId val="374065408"/>
      </c:barChart>
      <c:catAx>
        <c:axId val="37406423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374065408"/>
        <c:crosses val="autoZero"/>
        <c:auto val="1"/>
        <c:lblAlgn val="l"/>
        <c:lblOffset val="100"/>
        <c:noMultiLvlLbl val="0"/>
      </c:catAx>
      <c:valAx>
        <c:axId val="3740654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406423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KPI_Слушателя!$C$4</c:f>
              <c:strCache>
                <c:ptCount val="1"/>
                <c:pt idx="0">
                  <c:v>97%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FF0000"/>
              </a:solidFill>
              <a:ln w="952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D5F-4B10-B1D7-12D370F631BE}"/>
              </c:ext>
            </c:extLst>
          </c:dPt>
          <c:dPt>
            <c:idx val="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D5F-4B10-B1D7-12D370F631B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D5F-4B10-B1D7-12D370F631BE}"/>
              </c:ext>
            </c:extLst>
          </c:dPt>
          <c:cat>
            <c:strRef>
              <c:f>KPI_Слушателя!$D$30:$F$30</c:f>
              <c:strCache>
                <c:ptCount val="3"/>
                <c:pt idx="0">
                  <c:v>ур1</c:v>
                </c:pt>
                <c:pt idx="1">
                  <c:v>ур2</c:v>
                </c:pt>
                <c:pt idx="2">
                  <c:v>ур3</c:v>
                </c:pt>
              </c:strCache>
            </c:strRef>
          </c:cat>
          <c:val>
            <c:numRef>
              <c:f>KPI_Слушателя!$D$31:$F$31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0.97058823529411764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5F-4B10-B1D7-12D370F63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KPI_Слушателя!$M$6:$M$13</c:f>
              <c:strCache>
                <c:ptCount val="8"/>
                <c:pt idx="0">
                  <c:v>ДЗ 1 ссылки и вычисления</c:v>
                </c:pt>
                <c:pt idx="1">
                  <c:v>ДЗ 2 имена</c:v>
                </c:pt>
                <c:pt idx="2">
                  <c:v>ДЗ 3 математические ф-ц</c:v>
                </c:pt>
                <c:pt idx="3">
                  <c:v>ДЗ 4 ВПР</c:v>
                </c:pt>
                <c:pt idx="4">
                  <c:v>ДЗ 5 логические ф-ц</c:v>
                </c:pt>
                <c:pt idx="5">
                  <c:v>ДЗ 6 работа с текстом</c:v>
                </c:pt>
                <c:pt idx="6">
                  <c:v>ДЗ 7 работа с датой</c:v>
                </c:pt>
                <c:pt idx="7">
                  <c:v>ДЗ 8 устранение ошибок</c:v>
                </c:pt>
              </c:strCache>
            </c:strRef>
          </c:cat>
          <c:val>
            <c:numRef>
              <c:f>KPI_Слушателя!$P$6:$P$13</c:f>
              <c:numCache>
                <c:formatCode>0%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33-4E95-9062-10F2D68BC130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KPI_Слушателя!$M$6:$M$13</c:f>
              <c:strCache>
                <c:ptCount val="8"/>
                <c:pt idx="0">
                  <c:v>ДЗ 1 ссылки и вычисления</c:v>
                </c:pt>
                <c:pt idx="1">
                  <c:v>ДЗ 2 имена</c:v>
                </c:pt>
                <c:pt idx="2">
                  <c:v>ДЗ 3 математические ф-ц</c:v>
                </c:pt>
                <c:pt idx="3">
                  <c:v>ДЗ 4 ВПР</c:v>
                </c:pt>
                <c:pt idx="4">
                  <c:v>ДЗ 5 логические ф-ц</c:v>
                </c:pt>
                <c:pt idx="5">
                  <c:v>ДЗ 6 работа с текстом</c:v>
                </c:pt>
                <c:pt idx="6">
                  <c:v>ДЗ 7 работа с датой</c:v>
                </c:pt>
                <c:pt idx="7">
                  <c:v>ДЗ 8 устранение ошибок</c:v>
                </c:pt>
              </c:strCache>
            </c:strRef>
          </c:cat>
          <c:val>
            <c:numRef>
              <c:f>KPI_Слушателя!$Q$6:$Q$13</c:f>
              <c:numCache>
                <c:formatCode>0%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33-4E95-9062-10F2D68BC130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8"/>
        <c:axId val="715584504"/>
        <c:axId val="715582936"/>
      </c:barChart>
      <c:catAx>
        <c:axId val="715584504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5582936"/>
        <c:crosses val="autoZero"/>
        <c:auto val="1"/>
        <c:lblAlgn val="ctr"/>
        <c:lblOffset val="100"/>
        <c:noMultiLvlLbl val="0"/>
      </c:catAx>
      <c:valAx>
        <c:axId val="715582936"/>
        <c:scaling>
          <c:orientation val="minMax"/>
          <c:max val="1"/>
        </c:scaling>
        <c:delete val="1"/>
        <c:axPos val="t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crossAx val="71558450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gradFill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</a:gra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/>
              <a:t>Прогресс выполнения всех домашних заданий </a:t>
            </a:r>
          </a:p>
        </c:rich>
      </c:tx>
      <c:layout>
        <c:manualLayout>
          <c:xMode val="edge"/>
          <c:yMode val="edge"/>
          <c:x val="0.25004757738616007"/>
          <c:y val="7.60016357307427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strRef>
              <c:f>KPI_Слушателя!$K$31</c:f>
              <c:strCache>
                <c:ptCount val="1"/>
                <c:pt idx="0">
                  <c:v>Все задания</c:v>
                </c:pt>
              </c:strCache>
            </c:strRef>
          </c:cat>
          <c:val>
            <c:numRef>
              <c:f>KPI_Слушателя!$L$31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BE-4EBD-9EB2-7CFC5AD5763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2BE-4EBD-9EB2-7CFC5AD57630}"/>
              </c:ext>
            </c:extLst>
          </c:dPt>
          <c:cat>
            <c:strRef>
              <c:f>KPI_Слушателя!$K$31</c:f>
              <c:strCache>
                <c:ptCount val="1"/>
                <c:pt idx="0">
                  <c:v>Все задания</c:v>
                </c:pt>
              </c:strCache>
            </c:strRef>
          </c:cat>
          <c:val>
            <c:numRef>
              <c:f>KPI_Слушателя!$M$31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BE-4EBD-9EB2-7CFC5AD57630}"/>
            </c:ext>
          </c:extLst>
        </c:ser>
        <c:ser>
          <c:idx val="2"/>
          <c:order val="2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KPI_Слушателя!$K$31</c:f>
              <c:strCache>
                <c:ptCount val="1"/>
                <c:pt idx="0">
                  <c:v>Все задания</c:v>
                </c:pt>
              </c:strCache>
            </c:strRef>
          </c:cat>
          <c:val>
            <c:numRef>
              <c:f>KPI_Слушателя!$N$31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BE-4EBD-9EB2-7CFC5AD57630}"/>
            </c:ext>
          </c:extLst>
        </c:ser>
        <c:ser>
          <c:idx val="3"/>
          <c:order val="3"/>
          <c:tx>
            <c:v>Ряд 4</c:v>
          </c:tx>
          <c:spPr>
            <a:noFill/>
            <a:ln>
              <a:noFill/>
            </a:ln>
            <a:effectLst/>
          </c:spPr>
          <c:invertIfNegative val="0"/>
          <c:val>
            <c:numRef>
              <c:f>KPI_Слушателя!$O$31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2BE-4EBD-9EB2-7CFC5AD57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9"/>
        <c:overlap val="100"/>
        <c:axId val="715583720"/>
        <c:axId val="811469296"/>
      </c:barChart>
      <c:catAx>
        <c:axId val="71558372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811469296"/>
        <c:crosses val="autoZero"/>
        <c:auto val="1"/>
        <c:lblAlgn val="l"/>
        <c:lblOffset val="100"/>
        <c:noMultiLvlLbl val="0"/>
      </c:catAx>
      <c:valAx>
        <c:axId val="811469296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1558372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225642399753495"/>
          <c:y val="5.7761732851985562E-2"/>
          <c:w val="0.61548715200493009"/>
          <c:h val="0.89410348977135978"/>
        </c:manualLayout>
      </c:layout>
      <c:doughnutChart>
        <c:varyColors val="1"/>
        <c:ser>
          <c:idx val="0"/>
          <c:order val="0"/>
          <c:tx>
            <c:strRef>
              <c:f>KPI_Слушателя!$K$4</c:f>
              <c:strCache>
                <c:ptCount val="1"/>
                <c:pt idx="0">
                  <c:v>100%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</c:spPr>
          <c:dPt>
            <c:idx val="0"/>
            <c:bubble3D val="0"/>
            <c:spPr>
              <a:solidFill>
                <a:srgbClr val="FF6600"/>
              </a:solidFill>
              <a:ln w="952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489-4919-A1FA-0C9C42CA74D0}"/>
              </c:ext>
            </c:extLst>
          </c:dPt>
          <c:dPt>
            <c:idx val="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489-4919-A1FA-0C9C42CA74D0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489-4919-A1FA-0C9C42CA74D0}"/>
              </c:ext>
            </c:extLst>
          </c:dPt>
          <c:cat>
            <c:strRef>
              <c:f>KPI_Слушателя!$D$30:$F$30</c:f>
              <c:strCache>
                <c:ptCount val="3"/>
                <c:pt idx="0">
                  <c:v>ур1</c:v>
                </c:pt>
                <c:pt idx="1">
                  <c:v>ур2</c:v>
                </c:pt>
                <c:pt idx="2">
                  <c:v>ур3</c:v>
                </c:pt>
              </c:strCache>
            </c:strRef>
          </c:cat>
          <c:val>
            <c:numRef>
              <c:f>KPI_Слушателя!$L$31:$N$31</c:f>
              <c:numCache>
                <c:formatCode>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89-4919-A1FA-0C9C42CA7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3586416335551886"/>
          <c:y val="0.3966828567412659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KPI_Преподавателя!$F$4</c:f>
              <c:strCache>
                <c:ptCount val="1"/>
                <c:pt idx="0">
                  <c:v>1,80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CD6-4638-8214-4E0029119F0C}"/>
              </c:ext>
            </c:extLst>
          </c:dPt>
          <c:dPt>
            <c:idx val="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CD6-4638-8214-4E0029119F0C}"/>
              </c:ext>
            </c:extLst>
          </c:dPt>
          <c:dPt>
            <c:idx val="2"/>
            <c:bubble3D val="0"/>
            <c:spPr>
              <a:solidFill>
                <a:srgbClr val="FF66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CD6-4638-8214-4E0029119F0C}"/>
              </c:ext>
            </c:extLst>
          </c:dPt>
          <c:cat>
            <c:strLit>
              <c:ptCount val="3"/>
              <c:pt idx="0">
                <c:v>Переход 1</c:v>
              </c:pt>
              <c:pt idx="1">
                <c:v>Переход 2</c:v>
              </c:pt>
              <c:pt idx="2">
                <c:v>Переход 3</c:v>
              </c:pt>
            </c:strLit>
          </c:cat>
          <c:val>
            <c:numRef>
              <c:f>KPI_Преподавателя!$G$4:$I$4</c:f>
              <c:numCache>
                <c:formatCode>0.00</c:formatCode>
                <c:ptCount val="3"/>
                <c:pt idx="0">
                  <c:v>1.8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CD6-4638-8214-4E0029119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4253938681895855"/>
          <c:y val="0.4233361812145479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KPI_Преподавателя!$F$11</c:f>
              <c:strCache>
                <c:ptCount val="1"/>
                <c:pt idx="0">
                  <c:v>1,83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BC0-4671-90DF-18F454673FEB}"/>
              </c:ext>
            </c:extLst>
          </c:dPt>
          <c:dPt>
            <c:idx val="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BC0-4671-90DF-18F454673FEB}"/>
              </c:ext>
            </c:extLst>
          </c:dPt>
          <c:dPt>
            <c:idx val="2"/>
            <c:bubble3D val="0"/>
            <c:spPr>
              <a:solidFill>
                <a:srgbClr val="FF66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BC0-4671-90DF-18F454673FEB}"/>
              </c:ext>
            </c:extLst>
          </c:dPt>
          <c:cat>
            <c:strLit>
              <c:ptCount val="3"/>
              <c:pt idx="0">
                <c:v>Переход 1</c:v>
              </c:pt>
              <c:pt idx="1">
                <c:v>Переход 2</c:v>
              </c:pt>
              <c:pt idx="2">
                <c:v>Переход 3</c:v>
              </c:pt>
            </c:strLit>
          </c:cat>
          <c:val>
            <c:numRef>
              <c:f>KPI_Преподавателя!$G$11:$I$11</c:f>
              <c:numCache>
                <c:formatCode>0.00</c:formatCode>
                <c:ptCount val="3"/>
                <c:pt idx="0">
                  <c:v>1.8333336666666666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C0-4671-90DF-18F454673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KPI_Преподавателя!$J$6</c:f>
          <c:strCache>
            <c:ptCount val="1"/>
            <c:pt idx="0">
              <c:v>4,47</c:v>
            </c:pt>
          </c:strCache>
        </c:strRef>
      </c:tx>
      <c:layout>
        <c:manualLayout>
          <c:xMode val="edge"/>
          <c:yMode val="edge"/>
          <c:x val="0.42708058084598349"/>
          <c:y val="2.36605075740226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KPI_Преподавателя!$K$5</c:f>
              <c:strCache>
                <c:ptCount val="1"/>
                <c:pt idx="0">
                  <c:v>Переход 1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KPI_Преподавателя!$J$6</c:f>
              <c:numCache>
                <c:formatCode>0.00</c:formatCode>
                <c:ptCount val="1"/>
                <c:pt idx="0">
                  <c:v>4.473333666666667</c:v>
                </c:pt>
              </c:numCache>
            </c:numRef>
          </c:cat>
          <c:val>
            <c:numRef>
              <c:f>KPI_Преподавателя!$K$6</c:f>
              <c:numCache>
                <c:formatCode>0.00</c:formatCode>
                <c:ptCount val="1"/>
                <c:pt idx="0">
                  <c:v>4.473333666666667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4E-4C56-8944-2E579A1FB333}"/>
            </c:ext>
          </c:extLst>
        </c:ser>
        <c:ser>
          <c:idx val="1"/>
          <c:order val="1"/>
          <c:tx>
            <c:strRef>
              <c:f>KPI_Преподавателя!$L$5</c:f>
              <c:strCache>
                <c:ptCount val="1"/>
                <c:pt idx="0">
                  <c:v>Переход 2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KPI_Преподавателя!$J$6</c:f>
              <c:numCache>
                <c:formatCode>0.00</c:formatCode>
                <c:ptCount val="1"/>
                <c:pt idx="0">
                  <c:v>4.473333666666667</c:v>
                </c:pt>
              </c:numCache>
            </c:numRef>
          </c:cat>
          <c:val>
            <c:numRef>
              <c:f>KPI_Преподавателя!$L$6</c:f>
              <c:numCache>
                <c:formatCode>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4E-4C56-8944-2E579A1FB333}"/>
            </c:ext>
          </c:extLst>
        </c:ser>
        <c:ser>
          <c:idx val="2"/>
          <c:order val="2"/>
          <c:tx>
            <c:strRef>
              <c:f>KPI_Преподавателя!$M$5</c:f>
              <c:strCache>
                <c:ptCount val="1"/>
                <c:pt idx="0">
                  <c:v>Переход 3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/>
          </c:spPr>
          <c:invertIfNegative val="0"/>
          <c:cat>
            <c:numRef>
              <c:f>KPI_Преподавателя!$J$6</c:f>
              <c:numCache>
                <c:formatCode>0.00</c:formatCode>
                <c:ptCount val="1"/>
                <c:pt idx="0">
                  <c:v>4.473333666666667</c:v>
                </c:pt>
              </c:numCache>
            </c:numRef>
          </c:cat>
          <c:val>
            <c:numRef>
              <c:f>KPI_Преподавателя!$M$6</c:f>
              <c:numCache>
                <c:formatCode>0.00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4E-4C56-8944-2E579A1FB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4"/>
        <c:overlap val="100"/>
        <c:axId val="810836216"/>
        <c:axId val="810836608"/>
      </c:barChart>
      <c:catAx>
        <c:axId val="810836216"/>
        <c:scaling>
          <c:orientation val="minMax"/>
        </c:scaling>
        <c:delete val="1"/>
        <c:axPos val="b"/>
        <c:numFmt formatCode="0.00" sourceLinked="1"/>
        <c:majorTickMark val="none"/>
        <c:minorTickMark val="none"/>
        <c:tickLblPos val="nextTo"/>
        <c:crossAx val="810836608"/>
        <c:crosses val="autoZero"/>
        <c:auto val="1"/>
        <c:lblAlgn val="ctr"/>
        <c:lblOffset val="100"/>
        <c:noMultiLvlLbl val="0"/>
      </c:catAx>
      <c:valAx>
        <c:axId val="810836608"/>
        <c:scaling>
          <c:orientation val="minMax"/>
          <c:max val="5"/>
        </c:scaling>
        <c:delete val="1"/>
        <c:axPos val="l"/>
        <c:numFmt formatCode="0.00" sourceLinked="1"/>
        <c:majorTickMark val="none"/>
        <c:minorTickMark val="none"/>
        <c:tickLblPos val="nextTo"/>
        <c:crossAx val="81083621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0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4928094224890042"/>
          <c:y val="0.404499382941076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KPI_Преподавателя!$F$19</c:f>
              <c:strCache>
                <c:ptCount val="1"/>
                <c:pt idx="0">
                  <c:v>0,84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0AD-41EC-8D9E-B010ADE7FFFB}"/>
              </c:ext>
            </c:extLst>
          </c:dPt>
          <c:dPt>
            <c:idx val="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0AD-41EC-8D9E-B010ADE7FFFB}"/>
              </c:ext>
            </c:extLst>
          </c:dPt>
          <c:dPt>
            <c:idx val="2"/>
            <c:bubble3D val="0"/>
            <c:spPr>
              <a:solidFill>
                <a:srgbClr val="FF660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0AD-41EC-8D9E-B010ADE7FFFB}"/>
              </c:ext>
            </c:extLst>
          </c:dPt>
          <c:cat>
            <c:strLit>
              <c:ptCount val="3"/>
              <c:pt idx="0">
                <c:v>Переход 1</c:v>
              </c:pt>
              <c:pt idx="1">
                <c:v>Переход 2</c:v>
              </c:pt>
              <c:pt idx="2">
                <c:v>Переход 3</c:v>
              </c:pt>
            </c:strLit>
          </c:cat>
          <c:val>
            <c:numRef>
              <c:f>KPI_Преподавателя!$G$19:$I$19</c:f>
              <c:numCache>
                <c:formatCode>0.00</c:formatCode>
                <c:ptCount val="3"/>
                <c:pt idx="0">
                  <c:v>0.84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AD-41EC-8D9E-B010ADE7F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5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5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5.svg"/><Relationship Id="rId1" Type="http://schemas.openxmlformats.org/officeDocument/2006/relationships/image" Target="../media/image4.png"/><Relationship Id="rId4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emf"/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svg"/><Relationship Id="rId2" Type="http://schemas.openxmlformats.org/officeDocument/2006/relationships/image" Target="../media/image4.png"/><Relationship Id="rId1" Type="http://schemas.openxmlformats.org/officeDocument/2006/relationships/image" Target="../media/image1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g"/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5.sv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17980</xdr:colOff>
      <xdr:row>31</xdr:row>
      <xdr:rowOff>66261</xdr:rowOff>
    </xdr:from>
    <xdr:to>
      <xdr:col>9</xdr:col>
      <xdr:colOff>503822</xdr:colOff>
      <xdr:row>34</xdr:row>
      <xdr:rowOff>65138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4197" y="5400261"/>
          <a:ext cx="485842" cy="4958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314325</xdr:rowOff>
    </xdr:from>
    <xdr:to>
      <xdr:col>10</xdr:col>
      <xdr:colOff>0</xdr:colOff>
      <xdr:row>25</xdr:row>
      <xdr:rowOff>123825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82"/>
        <a:stretch/>
      </xdr:blipFill>
      <xdr:spPr>
        <a:xfrm>
          <a:off x="0" y="1933575"/>
          <a:ext cx="6096000" cy="2438400"/>
        </a:xfrm>
        <a:prstGeom prst="rect">
          <a:avLst/>
        </a:prstGeom>
      </xdr:spPr>
    </xdr:pic>
    <xdr:clientData/>
  </xdr:twoCellAnchor>
  <xdr:twoCellAnchor editAs="oneCell">
    <xdr:from>
      <xdr:col>7</xdr:col>
      <xdr:colOff>76114</xdr:colOff>
      <xdr:row>15</xdr:row>
      <xdr:rowOff>132108</xdr:rowOff>
    </xdr:from>
    <xdr:to>
      <xdr:col>8</xdr:col>
      <xdr:colOff>379582</xdr:colOff>
      <xdr:row>21</xdr:row>
      <xdr:rowOff>73422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6505" y="2815673"/>
          <a:ext cx="916381" cy="9352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114300</xdr:rowOff>
    </xdr:from>
    <xdr:to>
      <xdr:col>10</xdr:col>
      <xdr:colOff>0</xdr:colOff>
      <xdr:row>36</xdr:row>
      <xdr:rowOff>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82"/>
        <a:stretch/>
      </xdr:blipFill>
      <xdr:spPr>
        <a:xfrm>
          <a:off x="0" y="3456869"/>
          <a:ext cx="6085417" cy="2584450"/>
        </a:xfrm>
        <a:prstGeom prst="rect">
          <a:avLst/>
        </a:prstGeom>
      </xdr:spPr>
    </xdr:pic>
    <xdr:clientData/>
  </xdr:twoCellAnchor>
  <xdr:twoCellAnchor editAs="oneCell">
    <xdr:from>
      <xdr:col>7</xdr:col>
      <xdr:colOff>50423</xdr:colOff>
      <xdr:row>24</xdr:row>
      <xdr:rowOff>141112</xdr:rowOff>
    </xdr:from>
    <xdr:to>
      <xdr:col>8</xdr:col>
      <xdr:colOff>353892</xdr:colOff>
      <xdr:row>30</xdr:row>
      <xdr:rowOff>97014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0215" y="4277431"/>
          <a:ext cx="912010" cy="90840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13</xdr:row>
      <xdr:rowOff>171449</xdr:rowOff>
    </xdr:from>
    <xdr:to>
      <xdr:col>8</xdr:col>
      <xdr:colOff>571500</xdr:colOff>
      <xdr:row>28</xdr:row>
      <xdr:rowOff>161924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2</xdr:row>
      <xdr:rowOff>63286</xdr:rowOff>
    </xdr:from>
    <xdr:ext cx="2014654" cy="405432"/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0" y="279763"/>
          <a:ext cx="2014654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ru-RU" sz="20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Все уч. задания</a:t>
          </a:r>
        </a:p>
      </xdr:txBody>
    </xdr:sp>
    <xdr:clientData/>
  </xdr:oneCellAnchor>
  <xdr:twoCellAnchor>
    <xdr:from>
      <xdr:col>0</xdr:col>
      <xdr:colOff>0</xdr:colOff>
      <xdr:row>28</xdr:row>
      <xdr:rowOff>188015</xdr:rowOff>
    </xdr:from>
    <xdr:to>
      <xdr:col>8</xdr:col>
      <xdr:colOff>581025</xdr:colOff>
      <xdr:row>33</xdr:row>
      <xdr:rowOff>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43898</xdr:colOff>
      <xdr:row>2</xdr:row>
      <xdr:rowOff>9525</xdr:rowOff>
    </xdr:from>
    <xdr:to>
      <xdr:col>8</xdr:col>
      <xdr:colOff>581025</xdr:colOff>
      <xdr:row>13</xdr:row>
      <xdr:rowOff>152400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6</xdr:col>
      <xdr:colOff>104989</xdr:colOff>
      <xdr:row>5</xdr:row>
      <xdr:rowOff>97715</xdr:rowOff>
    </xdr:from>
    <xdr:ext cx="703591" cy="530658"/>
    <xdr:sp macro="" textlink="$C$4">
      <xdr:nvSpPr>
        <xdr:cNvPr id="7" name="Прямоугольник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600789" y="1154990"/>
          <a:ext cx="703591" cy="53065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fld id="{860AF242-4208-4D1B-8009-E99FB628C58E}" type="TxLink">
            <a:rPr lang="en-US" sz="2800" b="0" i="0" u="none" strike="noStrike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000000"/>
              </a:solidFill>
              <a:effectLst>
                <a:outerShdw dist="38100" dir="2640000" algn="bl" rotWithShape="0">
                  <a:schemeClr val="accent1"/>
                </a:outerShdw>
              </a:effectLst>
              <a:latin typeface="Arial"/>
              <a:cs typeface="Arial"/>
            </a:rPr>
            <a:pPr algn="ctr"/>
            <a:t>97%</a:t>
          </a:fld>
          <a:endParaRPr lang="ru-RU" sz="2800" b="1" cap="none" spc="0">
            <a:ln w="12700">
              <a:solidFill>
                <a:schemeClr val="accent1"/>
              </a:solidFill>
              <a:prstDash val="solid"/>
            </a:ln>
            <a:pattFill prst="pct50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effectLst>
              <a:outerShdw dist="38100" dir="2640000" algn="bl" rotWithShape="0">
                <a:schemeClr val="accent1"/>
              </a:outerShdw>
            </a:effectLst>
          </a:endParaRPr>
        </a:p>
      </xdr:txBody>
    </xdr:sp>
    <xdr:clientData/>
  </xdr:oneCellAnchor>
  <xdr:twoCellAnchor>
    <xdr:from>
      <xdr:col>11</xdr:col>
      <xdr:colOff>28576</xdr:colOff>
      <xdr:row>13</xdr:row>
      <xdr:rowOff>200024</xdr:rowOff>
    </xdr:from>
    <xdr:to>
      <xdr:col>16</xdr:col>
      <xdr:colOff>771526</xdr:colOff>
      <xdr:row>28</xdr:row>
      <xdr:rowOff>190499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8</xdr:col>
      <xdr:colOff>504825</xdr:colOff>
      <xdr:row>2</xdr:row>
      <xdr:rowOff>202698</xdr:rowOff>
    </xdr:from>
    <xdr:ext cx="1915132" cy="342786"/>
    <xdr:sp macro="" textlink="">
      <xdr:nvSpPr>
        <xdr:cNvPr id="9" name="Прямоугольник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7134225" y="421773"/>
          <a:ext cx="1915132" cy="34278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ru-RU" sz="16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Все дом.</a:t>
          </a:r>
          <a:r>
            <a:rPr lang="ru-RU" sz="16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  <a:r>
            <a:rPr lang="ru-RU" sz="16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задания</a:t>
          </a:r>
        </a:p>
      </xdr:txBody>
    </xdr:sp>
    <xdr:clientData/>
  </xdr:oneCellAnchor>
  <xdr:twoCellAnchor>
    <xdr:from>
      <xdr:col>8</xdr:col>
      <xdr:colOff>581025</xdr:colOff>
      <xdr:row>28</xdr:row>
      <xdr:rowOff>161925</xdr:rowOff>
    </xdr:from>
    <xdr:to>
      <xdr:col>16</xdr:col>
      <xdr:colOff>781049</xdr:colOff>
      <xdr:row>32</xdr:row>
      <xdr:rowOff>152400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5798</xdr:colOff>
      <xdr:row>2</xdr:row>
      <xdr:rowOff>66675</xdr:rowOff>
    </xdr:from>
    <xdr:to>
      <xdr:col>17</xdr:col>
      <xdr:colOff>9525</xdr:colOff>
      <xdr:row>14</xdr:row>
      <xdr:rowOff>9525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13</xdr:col>
      <xdr:colOff>427769</xdr:colOff>
      <xdr:row>6</xdr:row>
      <xdr:rowOff>31040</xdr:rowOff>
    </xdr:from>
    <xdr:ext cx="629531" cy="468013"/>
    <xdr:sp macro="" textlink="$K$4">
      <xdr:nvSpPr>
        <xdr:cNvPr id="12" name="Прямоугольник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11219594" y="1297865"/>
          <a:ext cx="629531" cy="46801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fld id="{E19CE4AD-92D7-48C3-80C9-FD8391C9D82F}" type="TxLink">
            <a:rPr lang="en-US" sz="2400" b="0" i="0" u="none" strike="noStrike" cap="none" spc="0">
              <a:ln w="12700">
                <a:solidFill>
                  <a:schemeClr val="accent1"/>
                </a:solidFill>
                <a:prstDash val="solid"/>
              </a:ln>
              <a:solidFill>
                <a:srgbClr val="000000"/>
              </a:solidFill>
              <a:effectLst>
                <a:outerShdw dist="38100" dir="2640000" algn="bl" rotWithShape="0">
                  <a:schemeClr val="accent1"/>
                </a:outerShdw>
              </a:effectLst>
              <a:latin typeface="Arial"/>
              <a:cs typeface="Arial"/>
            </a:rPr>
            <a:pPr algn="ctr"/>
            <a:t>100%</a:t>
          </a:fld>
          <a:endParaRPr lang="ru-RU" sz="2400" b="1" cap="none" spc="0">
            <a:ln w="12700">
              <a:solidFill>
                <a:schemeClr val="accent1"/>
              </a:solidFill>
              <a:prstDash val="solid"/>
            </a:ln>
            <a:pattFill prst="pct50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effectLst>
              <a:outerShdw dist="38100" dir="2640000" algn="bl" rotWithShape="0">
                <a:schemeClr val="accent1"/>
              </a:outerShdw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16565</xdr:colOff>
      <xdr:row>2</xdr:row>
      <xdr:rowOff>8282</xdr:rowOff>
    </xdr:from>
    <xdr:to>
      <xdr:col>8</xdr:col>
      <xdr:colOff>13993</xdr:colOff>
      <xdr:row>10</xdr:row>
      <xdr:rowOff>8281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494386</xdr:colOff>
      <xdr:row>10</xdr:row>
      <xdr:rowOff>18853</xdr:rowOff>
    </xdr:from>
    <xdr:to>
      <xdr:col>8</xdr:col>
      <xdr:colOff>16566</xdr:colOff>
      <xdr:row>18</xdr:row>
      <xdr:rowOff>198784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16564</xdr:colOff>
      <xdr:row>2</xdr:row>
      <xdr:rowOff>41414</xdr:rowOff>
    </xdr:from>
    <xdr:to>
      <xdr:col>11</xdr:col>
      <xdr:colOff>0</xdr:colOff>
      <xdr:row>27</xdr:row>
      <xdr:rowOff>198782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494386</xdr:colOff>
      <xdr:row>18</xdr:row>
      <xdr:rowOff>187357</xdr:rowOff>
    </xdr:from>
    <xdr:to>
      <xdr:col>8</xdr:col>
      <xdr:colOff>9710</xdr:colOff>
      <xdr:row>28</xdr:row>
      <xdr:rowOff>0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704850</xdr:colOff>
      <xdr:row>0</xdr:row>
      <xdr:rowOff>228600</xdr:rowOff>
    </xdr:from>
    <xdr:to>
      <xdr:col>2</xdr:col>
      <xdr:colOff>942975</xdr:colOff>
      <xdr:row>5</xdr:row>
      <xdr:rowOff>133350</xdr:rowOff>
    </xdr:to>
    <xdr:cxnSp macro="">
      <xdr:nvCxnSpPr>
        <xdr:cNvPr id="3" name="Прямая со стрелкой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 flipV="1">
          <a:off x="1314450" y="419100"/>
          <a:ext cx="1038225" cy="1000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53549</xdr:colOff>
      <xdr:row>7</xdr:row>
      <xdr:rowOff>171449</xdr:rowOff>
    </xdr:from>
    <xdr:to>
      <xdr:col>9</xdr:col>
      <xdr:colOff>457200</xdr:colOff>
      <xdr:row>9</xdr:row>
      <xdr:rowOff>133349</xdr:rowOff>
    </xdr:to>
    <xdr:pic>
      <xdr:nvPicPr>
        <xdr:cNvPr id="4" name="Рисунок 3" descr="Лампочка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7473524" y="1743074"/>
          <a:ext cx="403651" cy="438150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7</xdr:row>
      <xdr:rowOff>180976</xdr:rowOff>
    </xdr:from>
    <xdr:ext cx="2743200" cy="657224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8029575" y="1752601"/>
          <a:ext cx="2743200" cy="65722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Любая формула или функция в эксель начинается с </a:t>
          </a:r>
        </a:p>
        <a:p>
          <a:pPr algn="ctr"/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=</a:t>
          </a:r>
          <a:endParaRPr lang="en-US" sz="11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8</xdr:col>
      <xdr:colOff>600075</xdr:colOff>
      <xdr:row>7</xdr:row>
      <xdr:rowOff>114299</xdr:rowOff>
    </xdr:from>
    <xdr:to>
      <xdr:col>14</xdr:col>
      <xdr:colOff>409575</xdr:colOff>
      <xdr:row>10</xdr:row>
      <xdr:rowOff>142874</xdr:rowOff>
    </xdr:to>
    <xdr:sp macro="" textlink="">
      <xdr:nvSpPr>
        <xdr:cNvPr id="6" name="Прямоугольни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7410450" y="1685924"/>
          <a:ext cx="3467100" cy="771525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3</xdr:col>
      <xdr:colOff>323850</xdr:colOff>
      <xdr:row>7</xdr:row>
      <xdr:rowOff>228600</xdr:rowOff>
    </xdr:from>
    <xdr:to>
      <xdr:col>5</xdr:col>
      <xdr:colOff>380810</xdr:colOff>
      <xdr:row>9</xdr:row>
      <xdr:rowOff>38064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14625" y="1800225"/>
          <a:ext cx="1523810" cy="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628650</xdr:colOff>
      <xdr:row>11</xdr:row>
      <xdr:rowOff>114300</xdr:rowOff>
    </xdr:from>
    <xdr:to>
      <xdr:col>3</xdr:col>
      <xdr:colOff>51226</xdr:colOff>
      <xdr:row>13</xdr:row>
      <xdr:rowOff>171450</xdr:rowOff>
    </xdr:to>
    <xdr:pic>
      <xdr:nvPicPr>
        <xdr:cNvPr id="7" name="Рисунок 6" descr="Лампочка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2038350" y="2695575"/>
          <a:ext cx="403651" cy="438150"/>
        </a:xfrm>
        <a:prstGeom prst="rect">
          <a:avLst/>
        </a:prstGeom>
      </xdr:spPr>
    </xdr:pic>
    <xdr:clientData/>
  </xdr:twoCellAnchor>
  <xdr:twoCellAnchor>
    <xdr:from>
      <xdr:col>3</xdr:col>
      <xdr:colOff>742950</xdr:colOff>
      <xdr:row>5</xdr:row>
      <xdr:rowOff>200025</xdr:rowOff>
    </xdr:from>
    <xdr:to>
      <xdr:col>4</xdr:col>
      <xdr:colOff>247555</xdr:colOff>
      <xdr:row>7</xdr:row>
      <xdr:rowOff>228600</xdr:rowOff>
    </xdr:to>
    <xdr:cxnSp macro="">
      <xdr:nvCxnSpPr>
        <xdr:cNvPr id="9" name="Прямая со стрелкой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>
          <a:endCxn id="2" idx="0"/>
        </xdr:cNvCxnSpPr>
      </xdr:nvCxnSpPr>
      <xdr:spPr>
        <a:xfrm>
          <a:off x="3133725" y="1295400"/>
          <a:ext cx="342805" cy="50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9</xdr:row>
      <xdr:rowOff>38064</xdr:rowOff>
    </xdr:from>
    <xdr:to>
      <xdr:col>4</xdr:col>
      <xdr:colOff>247555</xdr:colOff>
      <xdr:row>11</xdr:row>
      <xdr:rowOff>104775</xdr:rowOff>
    </xdr:to>
    <xdr:cxnSp macro="">
      <xdr:nvCxnSpPr>
        <xdr:cNvPr id="11" name="Прямая со стрелкой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>
          <a:stCxn id="2" idx="2"/>
        </xdr:cNvCxnSpPr>
      </xdr:nvCxnSpPr>
      <xdr:spPr>
        <a:xfrm flipH="1">
          <a:off x="2438400" y="2085939"/>
          <a:ext cx="1038130" cy="6001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590551</xdr:colOff>
      <xdr:row>11</xdr:row>
      <xdr:rowOff>9525</xdr:rowOff>
    </xdr:from>
    <xdr:to>
      <xdr:col>6</xdr:col>
      <xdr:colOff>581026</xdr:colOff>
      <xdr:row>14</xdr:row>
      <xdr:rowOff>38101</xdr:rowOff>
    </xdr:to>
    <xdr:sp macro="" textlink="">
      <xdr:nvSpPr>
        <xdr:cNvPr id="12" name="Прямоугольник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2000251" y="2590800"/>
          <a:ext cx="3352800" cy="676276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815549</xdr:colOff>
      <xdr:row>9</xdr:row>
      <xdr:rowOff>180974</xdr:rowOff>
    </xdr:from>
    <xdr:to>
      <xdr:col>2</xdr:col>
      <xdr:colOff>161925</xdr:colOff>
      <xdr:row>11</xdr:row>
      <xdr:rowOff>133349</xdr:rowOff>
    </xdr:to>
    <xdr:pic>
      <xdr:nvPicPr>
        <xdr:cNvPr id="2" name="Рисунок 1" descr="Лампочка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1129874" y="2247899"/>
          <a:ext cx="384601" cy="409575"/>
        </a:xfrm>
        <a:prstGeom prst="rect">
          <a:avLst/>
        </a:prstGeom>
      </xdr:spPr>
    </xdr:pic>
    <xdr:clientData/>
  </xdr:twoCellAnchor>
  <xdr:oneCellAnchor>
    <xdr:from>
      <xdr:col>1</xdr:col>
      <xdr:colOff>933450</xdr:colOff>
      <xdr:row>8</xdr:row>
      <xdr:rowOff>114300</xdr:rowOff>
    </xdr:from>
    <xdr:ext cx="5276850" cy="771525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/>
      </xdr:nvSpPr>
      <xdr:spPr>
        <a:xfrm>
          <a:off x="1247775" y="1990725"/>
          <a:ext cx="5276850" cy="771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Для включения в расчет всех календарных дней, формула расчета даты должна включать поправочный коэффициент равный единице</a:t>
          </a:r>
        </a:p>
        <a:p>
          <a:endParaRPr lang="ru-RU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=(D4-C4</a:t>
          </a:r>
          <a:r>
            <a:rPr lang="en-US" sz="1100" b="1" baseline="0">
              <a:latin typeface="Arial" panose="020B0604020202020204" pitchFamily="34" charset="0"/>
              <a:cs typeface="Arial" panose="020B0604020202020204" pitchFamily="34" charset="0"/>
            </a:rPr>
            <a:t>+1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)*E4</a:t>
          </a:r>
          <a:endParaRPr lang="en-US" sz="11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1</xdr:col>
      <xdr:colOff>847725</xdr:colOff>
      <xdr:row>8</xdr:row>
      <xdr:rowOff>85724</xdr:rowOff>
    </xdr:from>
    <xdr:to>
      <xdr:col>7</xdr:col>
      <xdr:colOff>419100</xdr:colOff>
      <xdr:row>11</xdr:row>
      <xdr:rowOff>200025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162050" y="1962149"/>
          <a:ext cx="5438775" cy="762001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2</xdr:col>
      <xdr:colOff>857250</xdr:colOff>
      <xdr:row>18</xdr:row>
      <xdr:rowOff>66675</xdr:rowOff>
    </xdr:from>
    <xdr:to>
      <xdr:col>8</xdr:col>
      <xdr:colOff>609600</xdr:colOff>
      <xdr:row>21</xdr:row>
      <xdr:rowOff>180976</xdr:rowOff>
    </xdr:to>
    <xdr:sp macro="" textlink="">
      <xdr:nvSpPr>
        <xdr:cNvPr id="5" name="Прямоугольник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2209800" y="4248150"/>
          <a:ext cx="5438775" cy="762001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2</xdr:col>
      <xdr:colOff>914400</xdr:colOff>
      <xdr:row>18</xdr:row>
      <xdr:rowOff>76200</xdr:rowOff>
    </xdr:from>
    <xdr:ext cx="5276850" cy="77152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2266950" y="4257675"/>
          <a:ext cx="5276850" cy="771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Для эффективной работы автозаполнения формул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в таблице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не должно быть пустых столбцов или строк</a:t>
          </a:r>
          <a:endParaRPr lang="en-US" sz="11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 editAs="oneCell">
    <xdr:from>
      <xdr:col>5</xdr:col>
      <xdr:colOff>495300</xdr:colOff>
      <xdr:row>20</xdr:row>
      <xdr:rowOff>9525</xdr:rowOff>
    </xdr:from>
    <xdr:to>
      <xdr:col>6</xdr:col>
      <xdr:colOff>41701</xdr:colOff>
      <xdr:row>21</xdr:row>
      <xdr:rowOff>180975</xdr:rowOff>
    </xdr:to>
    <xdr:pic>
      <xdr:nvPicPr>
        <xdr:cNvPr id="9" name="Рисунок 8" descr="Лампочка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4962525" y="4572000"/>
          <a:ext cx="403651" cy="438150"/>
        </a:xfrm>
        <a:prstGeom prst="rect">
          <a:avLst/>
        </a:prstGeom>
      </xdr:spPr>
    </xdr:pic>
    <xdr:clientData/>
  </xdr:twoCellAnchor>
  <xdr:twoCellAnchor>
    <xdr:from>
      <xdr:col>4</xdr:col>
      <xdr:colOff>857250</xdr:colOff>
      <xdr:row>38</xdr:row>
      <xdr:rowOff>66674</xdr:rowOff>
    </xdr:from>
    <xdr:to>
      <xdr:col>10</xdr:col>
      <xdr:colOff>609600</xdr:colOff>
      <xdr:row>50</xdr:row>
      <xdr:rowOff>76200</xdr:rowOff>
    </xdr:to>
    <xdr:sp macro="" textlink="">
      <xdr:nvSpPr>
        <xdr:cNvPr id="10" name="Прямоугольник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4286250" y="8181974"/>
          <a:ext cx="5219700" cy="2343151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4</xdr:col>
      <xdr:colOff>914400</xdr:colOff>
      <xdr:row>38</xdr:row>
      <xdr:rowOff>76200</xdr:rowOff>
    </xdr:from>
    <xdr:ext cx="5095875" cy="230505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/>
      </xdr:nvSpPr>
      <xdr:spPr>
        <a:xfrm>
          <a:off x="4343400" y="8191500"/>
          <a:ext cx="5095875" cy="23050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Связь с другой книгой эксель может пострадать в том случае, если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источник</a:t>
          </a:r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 (в нашем случае книга Курс Долл), на который Вы ссылаетесь,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Вы</a:t>
          </a:r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отдельно переместите в другое место </a:t>
          </a:r>
        </a:p>
        <a:p>
          <a:pPr algn="ctr"/>
          <a:endParaRPr lang="ru-RU" sz="1100" b="1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(</a:t>
          </a:r>
          <a:r>
            <a:rPr lang="ru-RU" sz="1100" b="0" i="1" baseline="0">
              <a:latin typeface="Arial" panose="020B0604020202020204" pitchFamily="34" charset="0"/>
              <a:cs typeface="Arial" panose="020B0604020202020204" pitchFamily="34" charset="0"/>
            </a:rPr>
            <a:t>при этом, если обе книги </a:t>
          </a:r>
          <a:r>
            <a:rPr lang="ru-RU" sz="1100" b="0" i="1" u="sng" baseline="0">
              <a:latin typeface="Arial" panose="020B0604020202020204" pitchFamily="34" charset="0"/>
              <a:cs typeface="Arial" panose="020B0604020202020204" pitchFamily="34" charset="0"/>
            </a:rPr>
            <a:t>перемещаются вместе в одной папке</a:t>
          </a:r>
          <a:r>
            <a:rPr lang="ru-RU" sz="1100" b="0" i="1" baseline="0">
              <a:latin typeface="Arial" panose="020B0604020202020204" pitchFamily="34" charset="0"/>
              <a:cs typeface="Arial" panose="020B0604020202020204" pitchFamily="34" charset="0"/>
            </a:rPr>
            <a:t>, тогда связь не разрушится / также, если </a:t>
          </a:r>
          <a:r>
            <a:rPr lang="ru-RU" sz="1100" b="0" i="1" u="sng" baseline="0">
              <a:latin typeface="Arial" panose="020B0604020202020204" pitchFamily="34" charset="0"/>
              <a:cs typeface="Arial" panose="020B0604020202020204" pitchFamily="34" charset="0"/>
            </a:rPr>
            <a:t>перемещается книга внутри компьютера, которая ссылается на источник</a:t>
          </a:r>
          <a:r>
            <a:rPr lang="ru-RU" sz="1100" b="0" i="1" baseline="0">
              <a:latin typeface="Arial" panose="020B0604020202020204" pitchFamily="34" charset="0"/>
              <a:cs typeface="Arial" panose="020B0604020202020204" pitchFamily="34" charset="0"/>
            </a:rPr>
            <a:t>, также все будет нормально</a:t>
          </a:r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)</a:t>
          </a:r>
        </a:p>
        <a:p>
          <a:pPr algn="ctr"/>
          <a:endParaRPr lang="ru-RU" sz="1100" b="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Если связь в Вашей книге связь нарушена, эксель уведомит Вас об этом и предложит два варианта: </a:t>
          </a:r>
        </a:p>
        <a:p>
          <a:pPr algn="ctr"/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- либо не обновлять связь</a:t>
          </a:r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,</a:t>
          </a:r>
        </a:p>
        <a:p>
          <a:pPr algn="ctr"/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-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либо изменить связь (в этом случае появится окно)</a:t>
          </a:r>
          <a:endParaRPr lang="en-US" sz="11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4</xdr:col>
      <xdr:colOff>1000125</xdr:colOff>
      <xdr:row>47</xdr:row>
      <xdr:rowOff>47625</xdr:rowOff>
    </xdr:from>
    <xdr:ext cx="403651" cy="438150"/>
    <xdr:pic>
      <xdr:nvPicPr>
        <xdr:cNvPr id="12" name="Рисунок 11" descr="Лампочка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4429125" y="9925050"/>
          <a:ext cx="403651" cy="438150"/>
        </a:xfrm>
        <a:prstGeom prst="rect">
          <a:avLst/>
        </a:prstGeom>
      </xdr:spPr>
    </xdr:pic>
    <xdr:clientData/>
  </xdr:oneCellAnchor>
  <xdr:twoCellAnchor editAs="oneCell">
    <xdr:from>
      <xdr:col>4</xdr:col>
      <xdr:colOff>628650</xdr:colOff>
      <xdr:row>50</xdr:row>
      <xdr:rowOff>133350</xdr:rowOff>
    </xdr:from>
    <xdr:to>
      <xdr:col>10</xdr:col>
      <xdr:colOff>560214</xdr:colOff>
      <xdr:row>64</xdr:row>
      <xdr:rowOff>180636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57650" y="10582275"/>
          <a:ext cx="5619048" cy="2714286"/>
        </a:xfrm>
        <a:prstGeom prst="rect">
          <a:avLst/>
        </a:prstGeom>
      </xdr:spPr>
    </xdr:pic>
    <xdr:clientData/>
  </xdr:twoCellAnchor>
  <xdr:twoCellAnchor>
    <xdr:from>
      <xdr:col>9</xdr:col>
      <xdr:colOff>495300</xdr:colOff>
      <xdr:row>49</xdr:row>
      <xdr:rowOff>28575</xdr:rowOff>
    </xdr:from>
    <xdr:to>
      <xdr:col>9</xdr:col>
      <xdr:colOff>495300</xdr:colOff>
      <xdr:row>54</xdr:row>
      <xdr:rowOff>161925</xdr:rowOff>
    </xdr:to>
    <xdr:cxnSp macro="">
      <xdr:nvCxnSpPr>
        <xdr:cNvPr id="13" name="Прямая со стрелкой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CxnSpPr/>
      </xdr:nvCxnSpPr>
      <xdr:spPr>
        <a:xfrm>
          <a:off x="8534400" y="10287000"/>
          <a:ext cx="0" cy="10858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228600</xdr:colOff>
      <xdr:row>69</xdr:row>
      <xdr:rowOff>0</xdr:rowOff>
    </xdr:from>
    <xdr:to>
      <xdr:col>10</xdr:col>
      <xdr:colOff>485635</xdr:colOff>
      <xdr:row>70</xdr:row>
      <xdr:rowOff>57119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67700" y="14068425"/>
          <a:ext cx="1114286" cy="247619"/>
        </a:xfrm>
        <a:prstGeom prst="rect">
          <a:avLst/>
        </a:prstGeom>
      </xdr:spPr>
    </xdr:pic>
    <xdr:clientData/>
  </xdr:twoCellAnchor>
  <xdr:oneCellAnchor>
    <xdr:from>
      <xdr:col>4</xdr:col>
      <xdr:colOff>561975</xdr:colOff>
      <xdr:row>67</xdr:row>
      <xdr:rowOff>142875</xdr:rowOff>
    </xdr:from>
    <xdr:ext cx="403651" cy="438150"/>
    <xdr:pic>
      <xdr:nvPicPr>
        <xdr:cNvPr id="15" name="Рисунок 14" descr="Лампочка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3990975" y="13849350"/>
          <a:ext cx="403651" cy="43815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82480</xdr:colOff>
      <xdr:row>1</xdr:row>
      <xdr:rowOff>55563</xdr:rowOff>
    </xdr:from>
    <xdr:to>
      <xdr:col>12</xdr:col>
      <xdr:colOff>120166</xdr:colOff>
      <xdr:row>5</xdr:row>
      <xdr:rowOff>130107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2806630" y="246063"/>
          <a:ext cx="4171536" cy="836544"/>
        </a:xfrm>
        <a:prstGeom prst="foldedCorner">
          <a:avLst>
            <a:gd name="adj" fmla="val 7756"/>
          </a:avLst>
        </a:prstGeom>
        <a:solidFill>
          <a:schemeClr val="accent6">
            <a:lumMod val="20000"/>
            <a:lumOff val="8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ычислить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Площадь, т.е. умножьте длину на ширину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57149</xdr:colOff>
      <xdr:row>18</xdr:row>
      <xdr:rowOff>180975</xdr:rowOff>
    </xdr:from>
    <xdr:to>
      <xdr:col>7</xdr:col>
      <xdr:colOff>523576</xdr:colOff>
      <xdr:row>23</xdr:row>
      <xdr:rowOff>133237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49" y="4010025"/>
          <a:ext cx="2295227" cy="90476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4142</xdr:colOff>
      <xdr:row>14</xdr:row>
      <xdr:rowOff>24847</xdr:rowOff>
    </xdr:from>
    <xdr:to>
      <xdr:col>16</xdr:col>
      <xdr:colOff>369405</xdr:colOff>
      <xdr:row>27</xdr:row>
      <xdr:rowOff>82827</xdr:rowOff>
    </xdr:to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8560077" y="2700130"/>
          <a:ext cx="4514850" cy="2534480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11</xdr:col>
      <xdr:colOff>107674</xdr:colOff>
      <xdr:row>14</xdr:row>
      <xdr:rowOff>101049</xdr:rowOff>
    </xdr:from>
    <xdr:ext cx="4331804" cy="801755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 txBox="1"/>
      </xdr:nvSpPr>
      <xdr:spPr>
        <a:xfrm>
          <a:off x="8663609" y="2776332"/>
          <a:ext cx="4331804" cy="8017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При написании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имен</a:t>
          </a:r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 не должно быть пробелов</a:t>
          </a:r>
        </a:p>
        <a:p>
          <a:pPr algn="ctr"/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Их можно заменять следующими вариантами записей</a:t>
          </a:r>
        </a:p>
        <a:p>
          <a:pPr algn="ctr"/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КурсДоллара</a:t>
          </a:r>
        </a:p>
        <a:p>
          <a:pPr algn="ctr"/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Курс_доллара</a:t>
          </a:r>
          <a:endParaRPr lang="ru-RU" sz="1100" b="0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 editAs="oneCell">
    <xdr:from>
      <xdr:col>13</xdr:col>
      <xdr:colOff>6626</xdr:colOff>
      <xdr:row>18</xdr:row>
      <xdr:rowOff>50939</xdr:rowOff>
    </xdr:from>
    <xdr:to>
      <xdr:col>13</xdr:col>
      <xdr:colOff>413590</xdr:colOff>
      <xdr:row>20</xdr:row>
      <xdr:rowOff>157784</xdr:rowOff>
    </xdr:to>
    <xdr:pic>
      <xdr:nvPicPr>
        <xdr:cNvPr id="4" name="Рисунок 3" descr="Лампочка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10484126" y="3488222"/>
          <a:ext cx="406964" cy="487845"/>
        </a:xfrm>
        <a:prstGeom prst="rect">
          <a:avLst/>
        </a:prstGeom>
      </xdr:spPr>
    </xdr:pic>
    <xdr:clientData/>
  </xdr:twoCellAnchor>
  <xdr:oneCellAnchor>
    <xdr:from>
      <xdr:col>11</xdr:col>
      <xdr:colOff>74543</xdr:colOff>
      <xdr:row>21</xdr:row>
      <xdr:rowOff>33130</xdr:rowOff>
    </xdr:from>
    <xdr:ext cx="4331804" cy="117613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SpPr txBox="1"/>
      </xdr:nvSpPr>
      <xdr:spPr>
        <a:xfrm>
          <a:off x="8630478" y="4041913"/>
          <a:ext cx="4331804" cy="11761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Также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имена</a:t>
          </a:r>
        </a:p>
        <a:p>
          <a:pPr algn="ctr"/>
          <a:endParaRPr lang="ru-RU" sz="1100" b="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ru-RU" sz="1100" b="0" i="1" baseline="0">
              <a:latin typeface="Arial" panose="020B0604020202020204" pitchFamily="34" charset="0"/>
              <a:cs typeface="Arial" panose="020B0604020202020204" pitchFamily="34" charset="0"/>
            </a:rPr>
            <a:t>Не должны начинаться с цифры</a:t>
          </a:r>
        </a:p>
        <a:p>
          <a:pPr algn="ctr"/>
          <a:r>
            <a:rPr lang="ru-RU" sz="1100" b="0" i="1" baseline="0">
              <a:latin typeface="Arial" panose="020B0604020202020204" pitchFamily="34" charset="0"/>
              <a:cs typeface="Arial" panose="020B0604020202020204" pitchFamily="34" charset="0"/>
            </a:rPr>
            <a:t>Не должны повторяться в рамках одной листа или книги</a:t>
          </a:r>
        </a:p>
        <a:p>
          <a:pPr algn="ctr"/>
          <a:r>
            <a:rPr lang="ru-RU" sz="1100" b="0" i="0" baseline="0">
              <a:latin typeface="Arial" panose="020B0604020202020204" pitchFamily="34" charset="0"/>
              <a:cs typeface="Arial" panose="020B0604020202020204" pitchFamily="34" charset="0"/>
            </a:rPr>
            <a:t>(в зависимости от области применения имени)</a:t>
          </a: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523108</xdr:colOff>
      <xdr:row>25</xdr:row>
      <xdr:rowOff>154023</xdr:rowOff>
    </xdr:from>
    <xdr:to>
      <xdr:col>5</xdr:col>
      <xdr:colOff>460555</xdr:colOff>
      <xdr:row>28</xdr:row>
      <xdr:rowOff>170716</xdr:rowOff>
    </xdr:to>
    <xdr:pic>
      <xdr:nvPicPr>
        <xdr:cNvPr id="2" name="Рисунок 1" descr="Лампочка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2961508" y="5154648"/>
          <a:ext cx="547047" cy="616768"/>
        </a:xfrm>
        <a:prstGeom prst="rect">
          <a:avLst/>
        </a:prstGeom>
      </xdr:spPr>
    </xdr:pic>
    <xdr:clientData/>
  </xdr:twoCellAnchor>
  <xdr:oneCellAnchor>
    <xdr:from>
      <xdr:col>2</xdr:col>
      <xdr:colOff>73269</xdr:colOff>
      <xdr:row>21</xdr:row>
      <xdr:rowOff>55367</xdr:rowOff>
    </xdr:from>
    <xdr:ext cx="3822456" cy="1049534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 txBox="1"/>
      </xdr:nvSpPr>
      <xdr:spPr>
        <a:xfrm>
          <a:off x="1292469" y="4122542"/>
          <a:ext cx="3822456" cy="10495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Имена </a:t>
          </a:r>
          <a:r>
            <a:rPr lang="ru-RU" sz="1100" u="sng" baseline="0">
              <a:latin typeface="Arial" panose="020B0604020202020204" pitchFamily="34" charset="0"/>
              <a:cs typeface="Arial" panose="020B0604020202020204" pitchFamily="34" charset="0"/>
            </a:rPr>
            <a:t>диапазонам </a:t>
          </a: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можно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создавать из выделенного </a:t>
          </a: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(как в предыдущей задаче), а можно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присваивать самостоятельно</a:t>
          </a: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 (как в текущей задаче)</a:t>
          </a:r>
          <a:endParaRPr lang="en-US" sz="11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2</xdr:col>
      <xdr:colOff>64064</xdr:colOff>
      <xdr:row>21</xdr:row>
      <xdr:rowOff>29432</xdr:rowOff>
    </xdr:from>
    <xdr:to>
      <xdr:col>8</xdr:col>
      <xdr:colOff>304800</xdr:colOff>
      <xdr:row>29</xdr:row>
      <xdr:rowOff>66675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1283264" y="4096607"/>
          <a:ext cx="3898336" cy="1761268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228600</xdr:colOff>
      <xdr:row>5</xdr:row>
      <xdr:rowOff>85725</xdr:rowOff>
    </xdr:from>
    <xdr:to>
      <xdr:col>15</xdr:col>
      <xdr:colOff>476251</xdr:colOff>
      <xdr:row>11</xdr:row>
      <xdr:rowOff>28575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667625" y="1228725"/>
          <a:ext cx="3914776" cy="1085850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роизвести вычисления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 столбцах </a:t>
          </a:r>
          <a:r>
            <a:rPr kumimoji="0" lang="en-US" sz="1100" b="1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F:J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так, чтобы в расчетах участвовали имена из таблицы-справочника выше (стобцы 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M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: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N)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rgbClr val="000066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193366</xdr:rowOff>
    </xdr:from>
    <xdr:to>
      <xdr:col>5</xdr:col>
      <xdr:colOff>731610</xdr:colOff>
      <xdr:row>15</xdr:row>
      <xdr:rowOff>183173</xdr:rowOff>
    </xdr:to>
    <xdr:sp macro="" textlink="">
      <xdr:nvSpPr>
        <xdr:cNvPr id="7" name="Прямоугольник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0" y="2340154"/>
          <a:ext cx="5215687" cy="978942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0</xdr:col>
      <xdr:colOff>93019</xdr:colOff>
      <xdr:row>11</xdr:row>
      <xdr:rowOff>35106</xdr:rowOff>
    </xdr:from>
    <xdr:ext cx="4331804" cy="80175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 txBox="1"/>
      </xdr:nvSpPr>
      <xdr:spPr>
        <a:xfrm>
          <a:off x="93019" y="2577548"/>
          <a:ext cx="4331804" cy="8017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Для округления значений вверх или вниз применяются схожие функции </a:t>
          </a:r>
        </a:p>
        <a:p>
          <a:pPr algn="ctr"/>
          <a:r>
            <a:rPr lang="ru-RU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ОКРУГЛВНИЗ</a:t>
          </a:r>
          <a:r>
            <a:rPr lang="ru-RU"/>
            <a:t> </a:t>
          </a:r>
        </a:p>
        <a:p>
          <a:pPr algn="ctr"/>
          <a:r>
            <a:rPr lang="ru-RU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ОКРУГЛВВЕРХ</a:t>
          </a:r>
          <a:r>
            <a:rPr lang="ru-RU"/>
            <a:t> </a:t>
          </a:r>
          <a:endParaRPr lang="ru-RU" sz="1100" b="0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 editAs="oneCell">
    <xdr:from>
      <xdr:col>4</xdr:col>
      <xdr:colOff>856549</xdr:colOff>
      <xdr:row>11</xdr:row>
      <xdr:rowOff>43612</xdr:rowOff>
    </xdr:from>
    <xdr:to>
      <xdr:col>5</xdr:col>
      <xdr:colOff>307730</xdr:colOff>
      <xdr:row>13</xdr:row>
      <xdr:rowOff>131407</xdr:rowOff>
    </xdr:to>
    <xdr:pic>
      <xdr:nvPicPr>
        <xdr:cNvPr id="9" name="Рисунок 8" descr="Лампочка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4556645" y="2586054"/>
          <a:ext cx="498931" cy="48344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17</xdr:row>
      <xdr:rowOff>134750</xdr:rowOff>
    </xdr:from>
    <xdr:to>
      <xdr:col>5</xdr:col>
      <xdr:colOff>731610</xdr:colOff>
      <xdr:row>22</xdr:row>
      <xdr:rowOff>124556</xdr:rowOff>
    </xdr:to>
    <xdr:sp macro="" textlink="">
      <xdr:nvSpPr>
        <xdr:cNvPr id="11" name="Прямоугольник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/>
      </xdr:nvSpPr>
      <xdr:spPr>
        <a:xfrm>
          <a:off x="0" y="3666327"/>
          <a:ext cx="5215687" cy="978941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0</xdr:col>
      <xdr:colOff>93019</xdr:colOff>
      <xdr:row>18</xdr:row>
      <xdr:rowOff>35106</xdr:rowOff>
    </xdr:from>
    <xdr:ext cx="4331804" cy="801755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 txBox="1"/>
      </xdr:nvSpPr>
      <xdr:spPr>
        <a:xfrm>
          <a:off x="93019" y="2577548"/>
          <a:ext cx="4331804" cy="80175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Родственная функция по отношению к </a:t>
          </a:r>
          <a:r>
            <a:rPr lang="ru-RU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ОКРВВЕРХ.МАТ</a:t>
          </a:r>
          <a:r>
            <a:rPr lang="ru-RU"/>
            <a:t> </a:t>
          </a:r>
          <a:endParaRPr lang="ru-RU" sz="1100" b="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ru-RU" sz="12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является</a:t>
          </a:r>
          <a:r>
            <a:rPr lang="ru-RU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ru-RU" sz="1100" b="1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ОКРВНИЗ.МАТ</a:t>
          </a:r>
          <a:r>
            <a:rPr lang="ru-RU"/>
            <a:t> с тем отличием, что она подбирает значение с меньшим округлением под заданный параметр кратности</a:t>
          </a:r>
          <a:endParaRPr lang="ru-RU" sz="1100" b="0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oneCellAnchor>
    <xdr:from>
      <xdr:col>4</xdr:col>
      <xdr:colOff>856549</xdr:colOff>
      <xdr:row>18</xdr:row>
      <xdr:rowOff>43612</xdr:rowOff>
    </xdr:from>
    <xdr:ext cx="498931" cy="483449"/>
    <xdr:pic>
      <xdr:nvPicPr>
        <xdr:cNvPr id="13" name="Рисунок 12" descr="Лампочка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4556645" y="2586054"/>
          <a:ext cx="498931" cy="483449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36983</xdr:colOff>
      <xdr:row>35</xdr:row>
      <xdr:rowOff>149085</xdr:rowOff>
    </xdr:from>
    <xdr:to>
      <xdr:col>12</xdr:col>
      <xdr:colOff>919369</xdr:colOff>
      <xdr:row>39</xdr:row>
      <xdr:rowOff>149086</xdr:rowOff>
    </xdr:to>
    <xdr:pic>
      <xdr:nvPicPr>
        <xdr:cNvPr id="2" name="Рисунок 1" descr="Лампочка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8220200" y="7388085"/>
          <a:ext cx="882386" cy="919371"/>
        </a:xfrm>
        <a:prstGeom prst="rect">
          <a:avLst/>
        </a:prstGeom>
      </xdr:spPr>
    </xdr:pic>
    <xdr:clientData/>
  </xdr:twoCellAnchor>
  <xdr:oneCellAnchor>
    <xdr:from>
      <xdr:col>12</xdr:col>
      <xdr:colOff>902804</xdr:colOff>
      <xdr:row>35</xdr:row>
      <xdr:rowOff>97734</xdr:rowOff>
    </xdr:from>
    <xdr:ext cx="4520647" cy="241189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 txBox="1"/>
      </xdr:nvSpPr>
      <xdr:spPr>
        <a:xfrm>
          <a:off x="9086021" y="7336734"/>
          <a:ext cx="4520647" cy="24118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В последней записи не забывайте про ряд моментов</a:t>
          </a:r>
        </a:p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1.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Направление</a:t>
          </a: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 значков </a:t>
          </a:r>
          <a:r>
            <a:rPr lang="ru-RU" sz="1100" b="1" i="1" baseline="0">
              <a:latin typeface="Arial" panose="020B0604020202020204" pitchFamily="34" charset="0"/>
              <a:cs typeface="Arial" panose="020B0604020202020204" pitchFamily="34" charset="0"/>
            </a:rPr>
            <a:t>больше</a:t>
          </a: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 (галочка разворачивается на искомый результат), </a:t>
          </a:r>
          <a:r>
            <a:rPr lang="ru-RU" sz="1100" b="1" i="1" baseline="0">
              <a:latin typeface="Arial" panose="020B0604020202020204" pitchFamily="34" charset="0"/>
              <a:cs typeface="Arial" panose="020B0604020202020204" pitchFamily="34" charset="0"/>
            </a:rPr>
            <a:t>меньше</a:t>
          </a: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 (галочка смотрит хвостом на искомый результат)</a:t>
          </a:r>
        </a:p>
        <a:p>
          <a:pPr algn="ctr"/>
          <a:b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</a:b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2. Если в критерии фигурирует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дата</a:t>
          </a: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, она (как и любая другая запись, не являющаяся ссылкой) должна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писаться в кавычках</a:t>
          </a:r>
        </a:p>
        <a:p>
          <a:pPr algn="ctr"/>
          <a:endParaRPr lang="ru-RU" sz="1100" b="1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3. Если по условиям первичная и конечная дата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включенные</a:t>
          </a: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, необходимо ставить операторы </a:t>
          </a:r>
          <a:r>
            <a:rPr lang="en-US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&gt;=</a:t>
          </a:r>
          <a:r>
            <a:rPr lang="ru-RU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или </a:t>
          </a:r>
          <a:r>
            <a:rPr lang="en-US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&lt;=</a:t>
          </a:r>
          <a:endParaRPr lang="ru-RU" sz="1100" b="1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endParaRPr lang="ru-RU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=СЧЁТЕСЛИМН(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G:G;</a:t>
          </a:r>
          <a:r>
            <a:rPr lang="en-US" sz="1100" b="1" baseline="0">
              <a:latin typeface="Arial" panose="020B0604020202020204" pitchFamily="34" charset="0"/>
              <a:cs typeface="Arial" panose="020B0604020202020204" pitchFamily="34" charset="0"/>
            </a:rPr>
            <a:t>"&gt;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=1.1.1970</a:t>
          </a:r>
          <a:r>
            <a:rPr lang="en-US" sz="1100" b="1" baseline="0">
              <a:latin typeface="Arial" panose="020B0604020202020204" pitchFamily="34" charset="0"/>
              <a:cs typeface="Arial" panose="020B0604020202020204" pitchFamily="34" charset="0"/>
            </a:rPr>
            <a:t>"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;G:G;</a:t>
          </a:r>
          <a:r>
            <a:rPr lang="en-US" sz="1100" b="1" baseline="0">
              <a:latin typeface="Arial" panose="020B0604020202020204" pitchFamily="34" charset="0"/>
              <a:cs typeface="Arial" panose="020B0604020202020204" pitchFamily="34" charset="0"/>
            </a:rPr>
            <a:t>"&lt;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=31.1</a:t>
          </a: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2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.1989</a:t>
          </a:r>
          <a:r>
            <a:rPr lang="en-US" sz="1100" b="1" baseline="0">
              <a:latin typeface="Arial" panose="020B0604020202020204" pitchFamily="34" charset="0"/>
              <a:cs typeface="Arial" panose="020B0604020202020204" pitchFamily="34" charset="0"/>
            </a:rPr>
            <a:t>"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)</a:t>
          </a:r>
          <a:endParaRPr lang="en-US" sz="11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12</xdr:col>
      <xdr:colOff>27747</xdr:colOff>
      <xdr:row>35</xdr:row>
      <xdr:rowOff>77440</xdr:rowOff>
    </xdr:from>
    <xdr:to>
      <xdr:col>17</xdr:col>
      <xdr:colOff>212035</xdr:colOff>
      <xdr:row>47</xdr:row>
      <xdr:rowOff>99391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8210964" y="7316440"/>
          <a:ext cx="5567984" cy="2531581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12</xdr:col>
      <xdr:colOff>2448815</xdr:colOff>
      <xdr:row>51</xdr:row>
      <xdr:rowOff>158994</xdr:rowOff>
    </xdr:from>
    <xdr:to>
      <xdr:col>13</xdr:col>
      <xdr:colOff>263544</xdr:colOff>
      <xdr:row>53</xdr:row>
      <xdr:rowOff>107674</xdr:rowOff>
    </xdr:to>
    <xdr:pic>
      <xdr:nvPicPr>
        <xdr:cNvPr id="5" name="Рисунок 4" descr="Лампочка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10458098" y="10702755"/>
          <a:ext cx="440316" cy="478767"/>
        </a:xfrm>
        <a:prstGeom prst="rect">
          <a:avLst/>
        </a:prstGeom>
      </xdr:spPr>
    </xdr:pic>
    <xdr:clientData/>
  </xdr:twoCellAnchor>
  <xdr:oneCellAnchor>
    <xdr:from>
      <xdr:col>12</xdr:col>
      <xdr:colOff>73269</xdr:colOff>
      <xdr:row>49</xdr:row>
      <xdr:rowOff>55366</xdr:rowOff>
    </xdr:from>
    <xdr:ext cx="5186187" cy="930264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 txBox="1"/>
      </xdr:nvSpPr>
      <xdr:spPr>
        <a:xfrm>
          <a:off x="8082552" y="10201562"/>
          <a:ext cx="5186187" cy="93026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Размер диапазонов нескольких условий в счетеслимн должны быть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одинакового размера, </a:t>
          </a:r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к примеру если диапазон первого условия - целый столбец, то диапазон второго условия должен быть тоже целый столбец</a:t>
          </a:r>
          <a:endParaRPr lang="en-US" sz="1100" b="0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12</xdr:col>
      <xdr:colOff>64064</xdr:colOff>
      <xdr:row>49</xdr:row>
      <xdr:rowOff>29432</xdr:rowOff>
    </xdr:from>
    <xdr:to>
      <xdr:col>16</xdr:col>
      <xdr:colOff>600807</xdr:colOff>
      <xdr:row>53</xdr:row>
      <xdr:rowOff>165652</xdr:rowOff>
    </xdr:to>
    <xdr:sp macro="" textlink="">
      <xdr:nvSpPr>
        <xdr:cNvPr id="7" name="Прямоугольник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8073347" y="10175628"/>
          <a:ext cx="5307525" cy="1063872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36983</xdr:colOff>
      <xdr:row>23</xdr:row>
      <xdr:rowOff>149085</xdr:rowOff>
    </xdr:from>
    <xdr:to>
      <xdr:col>7</xdr:col>
      <xdr:colOff>534964</xdr:colOff>
      <xdr:row>26</xdr:row>
      <xdr:rowOff>16565</xdr:rowOff>
    </xdr:to>
    <xdr:pic>
      <xdr:nvPicPr>
        <xdr:cNvPr id="2" name="Рисунок 1" descr="Лампочка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5983896" y="4795628"/>
          <a:ext cx="497981" cy="530089"/>
        </a:xfrm>
        <a:prstGeom prst="rect">
          <a:avLst/>
        </a:prstGeom>
      </xdr:spPr>
    </xdr:pic>
    <xdr:clientData/>
  </xdr:twoCellAnchor>
  <xdr:oneCellAnchor>
    <xdr:from>
      <xdr:col>7</xdr:col>
      <xdr:colOff>902804</xdr:colOff>
      <xdr:row>23</xdr:row>
      <xdr:rowOff>97735</xdr:rowOff>
    </xdr:from>
    <xdr:ext cx="3727173" cy="229593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 txBox="1"/>
      </xdr:nvSpPr>
      <xdr:spPr>
        <a:xfrm>
          <a:off x="6849717" y="4893365"/>
          <a:ext cx="3727173" cy="22959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При написании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критерия</a:t>
          </a:r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 в "условных" функциях (счет, сумм и т.п.) допустимо использовать символы подстановки</a:t>
          </a:r>
        </a:p>
        <a:p>
          <a:pPr algn="ctr"/>
          <a:endParaRPr lang="ru-RU" sz="1100" b="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ru-RU" sz="1100" b="0" u="sng" baseline="0">
              <a:latin typeface="Arial" panose="020B0604020202020204" pitchFamily="34" charset="0"/>
              <a:cs typeface="Arial" panose="020B0604020202020204" pitchFamily="34" charset="0"/>
            </a:rPr>
            <a:t>* - любое количество символов (в том числе проблел)</a:t>
          </a:r>
        </a:p>
        <a:p>
          <a:pPr algn="ctr"/>
          <a:endParaRPr lang="ru-RU" sz="1100" b="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К примеру, запись "Яблок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*</a:t>
          </a:r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" подразумевает</a:t>
          </a:r>
        </a:p>
        <a:p>
          <a:pPr algn="ctr"/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Яблоки, Яблоко, Яблоки Антоновка и т.п.</a:t>
          </a:r>
        </a:p>
        <a:p>
          <a:pPr algn="ctr"/>
          <a:endParaRPr lang="ru-RU" sz="1100" b="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ru-RU" sz="1100" b="0" u="sng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? - один конкретный сомвол </a:t>
          </a:r>
        </a:p>
        <a:p>
          <a:pPr algn="ctr"/>
          <a:endParaRPr lang="ru-RU" sz="1100" b="0" baseline="0">
            <a:solidFill>
              <a:schemeClr val="tx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r>
            <a:rPr lang="ru-RU" sz="1100" b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К примеру, запись "Ябл</a:t>
          </a:r>
          <a:r>
            <a:rPr lang="ru-RU" sz="1100" b="1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?</a:t>
          </a:r>
          <a:r>
            <a:rPr lang="ru-RU" sz="1100" b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ки" подразумевает</a:t>
          </a:r>
        </a:p>
        <a:p>
          <a:pPr algn="ctr"/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Ябл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о</a:t>
          </a:r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ки, Ябл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а</a:t>
          </a:r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ки и т.п. </a:t>
          </a:r>
          <a:endParaRPr lang="en-US" sz="1100" b="0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7</xdr:col>
      <xdr:colOff>27747</xdr:colOff>
      <xdr:row>23</xdr:row>
      <xdr:rowOff>77441</xdr:rowOff>
    </xdr:from>
    <xdr:to>
      <xdr:col>12</xdr:col>
      <xdr:colOff>212035</xdr:colOff>
      <xdr:row>34</xdr:row>
      <xdr:rowOff>41414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5974660" y="4873071"/>
          <a:ext cx="4673462" cy="2283104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7</xdr:col>
      <xdr:colOff>61260</xdr:colOff>
      <xdr:row>35</xdr:row>
      <xdr:rowOff>132520</xdr:rowOff>
    </xdr:from>
    <xdr:ext cx="443977" cy="528431"/>
    <xdr:pic>
      <xdr:nvPicPr>
        <xdr:cNvPr id="5" name="Рисунок 4" descr="Лампочка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6008173" y="7296977"/>
          <a:ext cx="443977" cy="528431"/>
        </a:xfrm>
        <a:prstGeom prst="rect">
          <a:avLst/>
        </a:prstGeom>
      </xdr:spPr>
    </xdr:pic>
    <xdr:clientData/>
  </xdr:oneCellAnchor>
  <xdr:oneCellAnchor>
    <xdr:from>
      <xdr:col>7</xdr:col>
      <xdr:colOff>632377</xdr:colOff>
      <xdr:row>35</xdr:row>
      <xdr:rowOff>97735</xdr:rowOff>
    </xdr:from>
    <xdr:ext cx="3727173" cy="846482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 txBox="1"/>
      </xdr:nvSpPr>
      <xdr:spPr>
        <a:xfrm>
          <a:off x="6579290" y="7262192"/>
          <a:ext cx="3727173" cy="84648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Пример расчета с двумя условиями</a:t>
          </a:r>
        </a:p>
        <a:p>
          <a:pPr algn="ctr"/>
          <a:endParaRPr lang="ru-RU" sz="1100" b="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=СУММЕСЛИМН(</a:t>
          </a:r>
          <a:r>
            <a:rPr lang="en-US" sz="1100" b="0" baseline="0">
              <a:latin typeface="Arial" panose="020B0604020202020204" pitchFamily="34" charset="0"/>
              <a:cs typeface="Arial" panose="020B0604020202020204" pitchFamily="34" charset="0"/>
            </a:rPr>
            <a:t>D:D;C:C;"*</a:t>
          </a:r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яблок*";</a:t>
          </a:r>
          <a:r>
            <a:rPr lang="en-US" sz="1100" b="0" baseline="0">
              <a:latin typeface="Arial" panose="020B0604020202020204" pitchFamily="34" charset="0"/>
              <a:cs typeface="Arial" panose="020B0604020202020204" pitchFamily="34" charset="0"/>
            </a:rPr>
            <a:t>E:E;"&gt;=20")</a:t>
          </a:r>
        </a:p>
      </xdr:txBody>
    </xdr:sp>
    <xdr:clientData/>
  </xdr:oneCellAnchor>
  <xdr:twoCellAnchor>
    <xdr:from>
      <xdr:col>7</xdr:col>
      <xdr:colOff>27748</xdr:colOff>
      <xdr:row>35</xdr:row>
      <xdr:rowOff>110572</xdr:rowOff>
    </xdr:from>
    <xdr:to>
      <xdr:col>12</xdr:col>
      <xdr:colOff>173936</xdr:colOff>
      <xdr:row>39</xdr:row>
      <xdr:rowOff>82826</xdr:rowOff>
    </xdr:to>
    <xdr:sp macro="" textlink="">
      <xdr:nvSpPr>
        <xdr:cNvPr id="7" name="Прямоугольник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5974661" y="7275029"/>
          <a:ext cx="4933536" cy="767384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6</xdr:col>
      <xdr:colOff>209582</xdr:colOff>
      <xdr:row>16</xdr:row>
      <xdr:rowOff>41413</xdr:rowOff>
    </xdr:from>
    <xdr:to>
      <xdr:col>7</xdr:col>
      <xdr:colOff>50720</xdr:colOff>
      <xdr:row>17</xdr:row>
      <xdr:rowOff>140807</xdr:rowOff>
    </xdr:to>
    <xdr:pic>
      <xdr:nvPicPr>
        <xdr:cNvPr id="8" name="Рисунок 7" descr="Лампочка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5717517" y="3296478"/>
          <a:ext cx="280116" cy="29817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285751</xdr:colOff>
      <xdr:row>8</xdr:row>
      <xdr:rowOff>19051</xdr:rowOff>
    </xdr:from>
    <xdr:ext cx="2384260" cy="1469954"/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3333751" y="1543051"/>
          <a:ext cx="2384260" cy="1469954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ru-RU" sz="8800" b="1" cap="none" spc="0">
              <a:ln w="12700">
                <a:solidFill>
                  <a:schemeClr val="tx2">
                    <a:lumMod val="75000"/>
                  </a:schemeClr>
                </a:solidFill>
                <a:prstDash val="solid"/>
              </a:ln>
              <a:pattFill prst="dkUpDiag">
                <a:fgClr>
                  <a:schemeClr val="tx2"/>
                </a:fgClr>
                <a:bgClr>
                  <a:schemeClr val="tx2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tx2">
                    <a:lumMod val="75000"/>
                  </a:schemeClr>
                </a:outerShdw>
              </a:effectLst>
            </a:rPr>
            <a:t>ВПР</a:t>
          </a: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105103</xdr:colOff>
      <xdr:row>18</xdr:row>
      <xdr:rowOff>231253</xdr:rowOff>
    </xdr:from>
    <xdr:to>
      <xdr:col>8</xdr:col>
      <xdr:colOff>6570</xdr:colOff>
      <xdr:row>22</xdr:row>
      <xdr:rowOff>60049</xdr:rowOff>
    </xdr:to>
    <xdr:pic>
      <xdr:nvPicPr>
        <xdr:cNvPr id="2" name="Рисунок 1" descr="Лампочка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5708431" y="3758787"/>
          <a:ext cx="604345" cy="636779"/>
        </a:xfrm>
        <a:prstGeom prst="rect">
          <a:avLst/>
        </a:prstGeom>
      </xdr:spPr>
    </xdr:pic>
    <xdr:clientData/>
  </xdr:twoCellAnchor>
  <xdr:oneCellAnchor>
    <xdr:from>
      <xdr:col>5</xdr:col>
      <xdr:colOff>283477</xdr:colOff>
      <xdr:row>13</xdr:row>
      <xdr:rowOff>180175</xdr:rowOff>
    </xdr:from>
    <xdr:ext cx="3230920" cy="1698549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 txBox="1"/>
      </xdr:nvSpPr>
      <xdr:spPr>
        <a:xfrm>
          <a:off x="4389080" y="2656675"/>
          <a:ext cx="3230920" cy="16985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Важное правило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ВПР</a:t>
          </a:r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 - таблица, откуда "подтягиваются" значения для </a:t>
          </a:r>
          <a:r>
            <a:rPr lang="ru-RU" sz="1100" b="0" i="1" baseline="0">
              <a:latin typeface="Arial" panose="020B0604020202020204" pitchFamily="34" charset="0"/>
              <a:cs typeface="Arial" panose="020B0604020202020204" pitchFamily="34" charset="0"/>
            </a:rPr>
            <a:t>искомого значения</a:t>
          </a:r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 должна начинаться со столбца, к которому </a:t>
          </a:r>
          <a:r>
            <a:rPr lang="ru-RU" sz="1100" b="0" u="sng" baseline="0">
              <a:latin typeface="Arial" panose="020B0604020202020204" pitchFamily="34" charset="0"/>
              <a:cs typeface="Arial" panose="020B0604020202020204" pitchFamily="34" charset="0"/>
            </a:rPr>
            <a:t>наше искомое принадлежит,</a:t>
          </a:r>
          <a:r>
            <a:rPr lang="ru-RU" sz="1100" b="0" u="none" baseline="0">
              <a:latin typeface="Arial" panose="020B0604020202020204" pitchFamily="34" charset="0"/>
              <a:cs typeface="Arial" panose="020B0604020202020204" pitchFamily="34" charset="0"/>
            </a:rPr>
            <a:t> все остальные данные (столбцы) должны лежать </a:t>
          </a:r>
          <a:r>
            <a:rPr lang="ru-RU" sz="1100" b="0" u="sng" baseline="0">
              <a:latin typeface="Arial" panose="020B0604020202020204" pitchFamily="34" charset="0"/>
              <a:cs typeface="Arial" panose="020B0604020202020204" pitchFamily="34" charset="0"/>
            </a:rPr>
            <a:t>правее </a:t>
          </a:r>
          <a:endParaRPr lang="en-US" sz="1100" b="0" u="sng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5</xdr:col>
      <xdr:colOff>247996</xdr:colOff>
      <xdr:row>13</xdr:row>
      <xdr:rowOff>121398</xdr:rowOff>
    </xdr:from>
    <xdr:to>
      <xdr:col>9</xdr:col>
      <xdr:colOff>692773</xdr:colOff>
      <xdr:row>22</xdr:row>
      <xdr:rowOff>91966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353599" y="2597898"/>
          <a:ext cx="3348260" cy="1829585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3</xdr:col>
      <xdr:colOff>538655</xdr:colOff>
      <xdr:row>9</xdr:row>
      <xdr:rowOff>100711</xdr:rowOff>
    </xdr:from>
    <xdr:ext cx="466395" cy="491425"/>
    <xdr:pic>
      <xdr:nvPicPr>
        <xdr:cNvPr id="5" name="Рисунок 4" descr="Лампочка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3310758" y="1815211"/>
          <a:ext cx="466395" cy="491425"/>
        </a:xfrm>
        <a:prstGeom prst="rect">
          <a:avLst/>
        </a:prstGeom>
      </xdr:spPr>
    </xdr:pic>
    <xdr:clientData/>
  </xdr:oneCellAnchor>
  <xdr:oneCellAnchor>
    <xdr:from>
      <xdr:col>0</xdr:col>
      <xdr:colOff>106114</xdr:colOff>
      <xdr:row>9</xdr:row>
      <xdr:rowOff>127623</xdr:rowOff>
    </xdr:from>
    <xdr:ext cx="3230920" cy="476721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 txBox="1"/>
      </xdr:nvSpPr>
      <xdr:spPr>
        <a:xfrm>
          <a:off x="106114" y="1842123"/>
          <a:ext cx="3230920" cy="4767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При работе с ВПР не забывайте закреплять таблицу клавишей </a:t>
          </a:r>
          <a:r>
            <a:rPr lang="en-US" sz="1100" b="0" baseline="0">
              <a:latin typeface="Arial" panose="020B0604020202020204" pitchFamily="34" charset="0"/>
              <a:cs typeface="Arial" panose="020B0604020202020204" pitchFamily="34" charset="0"/>
            </a:rPr>
            <a:t>F4</a:t>
          </a:r>
          <a:endParaRPr lang="en-US" sz="1100" b="0" u="sng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0</xdr:col>
      <xdr:colOff>142892</xdr:colOff>
      <xdr:row>9</xdr:row>
      <xdr:rowOff>55709</xdr:rowOff>
    </xdr:from>
    <xdr:to>
      <xdr:col>4</xdr:col>
      <xdr:colOff>409978</xdr:colOff>
      <xdr:row>12</xdr:row>
      <xdr:rowOff>65691</xdr:rowOff>
    </xdr:to>
    <xdr:sp macro="" textlink="">
      <xdr:nvSpPr>
        <xdr:cNvPr id="7" name="Прямоугольник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SpPr/>
      </xdr:nvSpPr>
      <xdr:spPr>
        <a:xfrm>
          <a:off x="142892" y="1770209"/>
          <a:ext cx="3761776" cy="581482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186070</xdr:colOff>
      <xdr:row>10</xdr:row>
      <xdr:rowOff>4555</xdr:rowOff>
    </xdr:from>
    <xdr:to>
      <xdr:col>6</xdr:col>
      <xdr:colOff>333375</xdr:colOff>
      <xdr:row>14</xdr:row>
      <xdr:rowOff>9525</xdr:rowOff>
    </xdr:to>
    <xdr:pic>
      <xdr:nvPicPr>
        <xdr:cNvPr id="2" name="Рисунок 1" descr="Лампочка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3843670" y="2185780"/>
          <a:ext cx="756905" cy="805070"/>
        </a:xfrm>
        <a:prstGeom prst="rect">
          <a:avLst/>
        </a:prstGeom>
      </xdr:spPr>
    </xdr:pic>
    <xdr:clientData/>
  </xdr:twoCellAnchor>
  <xdr:oneCellAnchor>
    <xdr:from>
      <xdr:col>6</xdr:col>
      <xdr:colOff>482876</xdr:colOff>
      <xdr:row>10</xdr:row>
      <xdr:rowOff>76614</xdr:rowOff>
    </xdr:from>
    <xdr:ext cx="2145197" cy="119973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 txBox="1"/>
      </xdr:nvSpPr>
      <xdr:spPr>
        <a:xfrm>
          <a:off x="4750076" y="2257839"/>
          <a:ext cx="2145197" cy="11997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При приблизительном поиске в ВПР </a:t>
          </a:r>
          <a:r>
            <a:rPr lang="ru-RU" sz="1100" u="sng" baseline="0">
              <a:latin typeface="Arial" panose="020B0604020202020204" pitchFamily="34" charset="0"/>
              <a:cs typeface="Arial" panose="020B0604020202020204" pitchFamily="34" charset="0"/>
            </a:rPr>
            <a:t>столбец таблицы справочника со значениями интервалов </a:t>
          </a: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должен быть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отсортирован по возрастанию</a:t>
          </a:r>
          <a:endParaRPr lang="en-US" sz="11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5</xdr:col>
      <xdr:colOff>132936</xdr:colOff>
      <xdr:row>9</xdr:row>
      <xdr:rowOff>169377</xdr:rowOff>
    </xdr:from>
    <xdr:to>
      <xdr:col>8</xdr:col>
      <xdr:colOff>1066800</xdr:colOff>
      <xdr:row>16</xdr:row>
      <xdr:rowOff>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3790536" y="2150577"/>
          <a:ext cx="3324639" cy="1297473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5</xdr:col>
      <xdr:colOff>214645</xdr:colOff>
      <xdr:row>17</xdr:row>
      <xdr:rowOff>23605</xdr:rowOff>
    </xdr:from>
    <xdr:ext cx="756905" cy="805070"/>
    <xdr:pic>
      <xdr:nvPicPr>
        <xdr:cNvPr id="5" name="Рисунок 4" descr="Лампочка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3872245" y="3738355"/>
          <a:ext cx="756905" cy="805070"/>
        </a:xfrm>
        <a:prstGeom prst="rect">
          <a:avLst/>
        </a:prstGeom>
      </xdr:spPr>
    </xdr:pic>
    <xdr:clientData/>
  </xdr:oneCellAnchor>
  <xdr:oneCellAnchor>
    <xdr:from>
      <xdr:col>6</xdr:col>
      <xdr:colOff>378101</xdr:colOff>
      <xdr:row>16</xdr:row>
      <xdr:rowOff>152814</xdr:rowOff>
    </xdr:from>
    <xdr:ext cx="2145197" cy="1199736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 txBox="1"/>
      </xdr:nvSpPr>
      <xdr:spPr>
        <a:xfrm>
          <a:off x="4645301" y="3600864"/>
          <a:ext cx="2145197" cy="119973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endParaRPr lang="ru-RU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При приблизительном поиске в ВПР </a:t>
          </a:r>
          <a:r>
            <a:rPr lang="ru-RU" sz="1100" u="none" baseline="0">
              <a:latin typeface="Arial" panose="020B0604020202020204" pitchFamily="34" charset="0"/>
              <a:cs typeface="Arial" panose="020B0604020202020204" pitchFamily="34" charset="0"/>
            </a:rPr>
            <a:t>ищется </a:t>
          </a:r>
          <a:r>
            <a:rPr lang="ru-RU" sz="1100" b="1" u="none" baseline="0">
              <a:latin typeface="Arial" panose="020B0604020202020204" pitchFamily="34" charset="0"/>
              <a:cs typeface="Arial" panose="020B0604020202020204" pitchFamily="34" charset="0"/>
            </a:rPr>
            <a:t>ближайшее наименьшее значение </a:t>
          </a:r>
          <a:r>
            <a:rPr lang="ru-RU" sz="1100" b="0" u="none" baseline="0">
              <a:latin typeface="Arial" panose="020B0604020202020204" pitchFamily="34" charset="0"/>
              <a:cs typeface="Arial" panose="020B0604020202020204" pitchFamily="34" charset="0"/>
            </a:rPr>
            <a:t>(максимальное из наименьших)</a:t>
          </a:r>
          <a:endParaRPr lang="en-US" sz="1100" b="0" u="none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5</xdr:col>
      <xdr:colOff>151986</xdr:colOff>
      <xdr:row>16</xdr:row>
      <xdr:rowOff>159852</xdr:rowOff>
    </xdr:from>
    <xdr:to>
      <xdr:col>8</xdr:col>
      <xdr:colOff>1085850</xdr:colOff>
      <xdr:row>22</xdr:row>
      <xdr:rowOff>190500</xdr:rowOff>
    </xdr:to>
    <xdr:sp macro="" textlink="">
      <xdr:nvSpPr>
        <xdr:cNvPr id="7" name="Прямоугольник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3809586" y="3607902"/>
          <a:ext cx="3324639" cy="1297473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8</xdr:col>
      <xdr:colOff>1266825</xdr:colOff>
      <xdr:row>11</xdr:row>
      <xdr:rowOff>171450</xdr:rowOff>
    </xdr:from>
    <xdr:to>
      <xdr:col>9</xdr:col>
      <xdr:colOff>381000</xdr:colOff>
      <xdr:row>14</xdr:row>
      <xdr:rowOff>57150</xdr:rowOff>
    </xdr:to>
    <xdr:sp macro="" textlink="">
      <xdr:nvSpPr>
        <xdr:cNvPr id="9" name="Стрелка вправо с вырезом 8"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SpPr/>
      </xdr:nvSpPr>
      <xdr:spPr>
        <a:xfrm>
          <a:off x="7315200" y="2552700"/>
          <a:ext cx="600075" cy="485775"/>
        </a:xfrm>
        <a:prstGeom prst="notch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9</xdr:col>
      <xdr:colOff>647700</xdr:colOff>
      <xdr:row>9</xdr:row>
      <xdr:rowOff>76200</xdr:rowOff>
    </xdr:from>
    <xdr:to>
      <xdr:col>10</xdr:col>
      <xdr:colOff>352425</xdr:colOff>
      <xdr:row>16</xdr:row>
      <xdr:rowOff>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14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81975" y="2057400"/>
          <a:ext cx="619125" cy="139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</xdr:colOff>
      <xdr:row>7</xdr:row>
      <xdr:rowOff>9525</xdr:rowOff>
    </xdr:from>
    <xdr:to>
      <xdr:col>10</xdr:col>
      <xdr:colOff>66675</xdr:colOff>
      <xdr:row>13</xdr:row>
      <xdr:rowOff>57150</xdr:rowOff>
    </xdr:to>
    <xdr:sp macro="" textlink="">
      <xdr:nvSpPr>
        <xdr:cNvPr id="2" name="Загнутый угол 3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4381500" y="1590675"/>
          <a:ext cx="3705225" cy="1247775"/>
        </a:xfrm>
        <a:prstGeom prst="foldedCorner">
          <a:avLst>
            <a:gd name="adj" fmla="val 7756"/>
          </a:avLst>
        </a:prstGeom>
        <a:solidFill>
          <a:schemeClr val="accent6">
            <a:lumMod val="20000"/>
            <a:lumOff val="8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Определить изменение количества деталей в пазлах, которые произошли в 2017 г на фоне данных 2016 г (таблица на листе Пазлы 2016)</a:t>
          </a:r>
        </a:p>
      </xdr:txBody>
    </xdr:sp>
    <xdr:clientData/>
  </xdr:twoCellAnchor>
  <xdr:twoCellAnchor editAs="oneCell">
    <xdr:from>
      <xdr:col>10</xdr:col>
      <xdr:colOff>600075</xdr:colOff>
      <xdr:row>15</xdr:row>
      <xdr:rowOff>145645</xdr:rowOff>
    </xdr:from>
    <xdr:to>
      <xdr:col>11</xdr:col>
      <xdr:colOff>404480</xdr:colOff>
      <xdr:row>17</xdr:row>
      <xdr:rowOff>185945</xdr:rowOff>
    </xdr:to>
    <xdr:pic>
      <xdr:nvPicPr>
        <xdr:cNvPr id="3" name="Рисунок 2" descr="Лампочка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8620125" y="3326995"/>
          <a:ext cx="414005" cy="440350"/>
        </a:xfrm>
        <a:prstGeom prst="rect">
          <a:avLst/>
        </a:prstGeom>
      </xdr:spPr>
    </xdr:pic>
    <xdr:clientData/>
  </xdr:twoCellAnchor>
  <xdr:twoCellAnchor>
    <xdr:from>
      <xdr:col>4</xdr:col>
      <xdr:colOff>514350</xdr:colOff>
      <xdr:row>14</xdr:row>
      <xdr:rowOff>133350</xdr:rowOff>
    </xdr:from>
    <xdr:to>
      <xdr:col>11</xdr:col>
      <xdr:colOff>561975</xdr:colOff>
      <xdr:row>19</xdr:row>
      <xdr:rowOff>38100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219575" y="3114675"/>
          <a:ext cx="4972050" cy="904875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9526</xdr:colOff>
      <xdr:row>6</xdr:row>
      <xdr:rowOff>38100</xdr:rowOff>
    </xdr:from>
    <xdr:to>
      <xdr:col>11</xdr:col>
      <xdr:colOff>352425</xdr:colOff>
      <xdr:row>14</xdr:row>
      <xdr:rowOff>19049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SpPr/>
      </xdr:nvSpPr>
      <xdr:spPr>
        <a:xfrm>
          <a:off x="5267326" y="1276350"/>
          <a:ext cx="3724274" cy="1581149"/>
        </a:xfrm>
        <a:prstGeom prst="foldedCorner">
          <a:avLst>
            <a:gd name="adj" fmla="val 7756"/>
          </a:avLst>
        </a:prstGeom>
        <a:solidFill>
          <a:schemeClr val="accent6">
            <a:lumMod val="20000"/>
            <a:lumOff val="8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Рассчитать премию, как произведение коэффициента и оклада. Коэффициенты каждого отдела для расчета премий указаны в соседней таблице.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При отсутствии числового значения коэффициента и отдела в таблице, вывести нулевое значение.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>
    <xdr:from>
      <xdr:col>7</xdr:col>
      <xdr:colOff>0</xdr:colOff>
      <xdr:row>27</xdr:row>
      <xdr:rowOff>1</xdr:rowOff>
    </xdr:from>
    <xdr:to>
      <xdr:col>12</xdr:col>
      <xdr:colOff>219074</xdr:colOff>
      <xdr:row>29</xdr:row>
      <xdr:rowOff>9526</xdr:rowOff>
    </xdr:to>
    <xdr:sp macro="" textlink="">
      <xdr:nvSpPr>
        <xdr:cNvPr id="3" name="Загнутый угол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6981825" y="5591176"/>
          <a:ext cx="3724274" cy="800100"/>
        </a:xfrm>
        <a:prstGeom prst="foldedCorner">
          <a:avLst>
            <a:gd name="adj" fmla="val 7756"/>
          </a:avLst>
        </a:prstGeom>
        <a:solidFill>
          <a:schemeClr val="accent6">
            <a:lumMod val="20000"/>
            <a:lumOff val="8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Рассчитать стоимость доставки, исходя из интервалов, данных в таблице-справочнике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214645</xdr:colOff>
      <xdr:row>24</xdr:row>
      <xdr:rowOff>185530</xdr:rowOff>
    </xdr:from>
    <xdr:to>
      <xdr:col>10</xdr:col>
      <xdr:colOff>20706</xdr:colOff>
      <xdr:row>28</xdr:row>
      <xdr:rowOff>104775</xdr:rowOff>
    </xdr:to>
    <xdr:pic>
      <xdr:nvPicPr>
        <xdr:cNvPr id="2" name="Рисунок 1" descr="Лампочка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5243845" y="5024230"/>
          <a:ext cx="882386" cy="852695"/>
        </a:xfrm>
        <a:prstGeom prst="rect">
          <a:avLst/>
        </a:prstGeom>
      </xdr:spPr>
    </xdr:pic>
    <xdr:clientData/>
  </xdr:twoCellAnchor>
  <xdr:oneCellAnchor>
    <xdr:from>
      <xdr:col>9</xdr:col>
      <xdr:colOff>1057275</xdr:colOff>
      <xdr:row>22</xdr:row>
      <xdr:rowOff>104775</xdr:rowOff>
    </xdr:from>
    <xdr:ext cx="2828926" cy="234315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 txBox="1"/>
      </xdr:nvSpPr>
      <xdr:spPr>
        <a:xfrm>
          <a:off x="6086475" y="4552950"/>
          <a:ext cx="2828926" cy="23431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Функция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ИЛИ</a:t>
          </a: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 работает аналогично функции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И</a:t>
          </a: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 с один отличием:</a:t>
          </a:r>
        </a:p>
        <a:p>
          <a:pPr algn="ctr"/>
          <a:endParaRPr lang="ru-RU" sz="1100" b="1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1.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Функция И </a:t>
          </a:r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проверяет соблюдения всех входящих в ее состав условий, и только тогда выдает заданное</a:t>
          </a:r>
        </a:p>
        <a:p>
          <a:pPr algn="ctr"/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ЗНАЧЕНИЕ ЕСЛИ ИСТИНА</a:t>
          </a:r>
        </a:p>
        <a:p>
          <a:pPr algn="ctr"/>
          <a:endParaRPr lang="ru-RU" sz="1100" b="0" baseline="0">
            <a:solidFill>
              <a:schemeClr val="tx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r>
            <a:rPr lang="ru-RU" sz="1100" b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2. </a:t>
          </a:r>
          <a:r>
            <a:rPr lang="ru-RU" sz="1100" b="1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Функция ИЛИ </a:t>
          </a:r>
          <a:r>
            <a:rPr lang="ru-RU" sz="1100" b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проверяет соблюдения </a:t>
          </a:r>
          <a:r>
            <a:rPr lang="ru-RU" sz="1100" b="0" u="sng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хотя бы одного </a:t>
          </a:r>
          <a:r>
            <a:rPr lang="ru-RU" sz="1100" b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из входящих в ее состав условий, а далее выдает заданное</a:t>
          </a:r>
        </a:p>
        <a:p>
          <a:pPr marL="0" indent="0" algn="ctr"/>
          <a:r>
            <a:rPr lang="ru-RU" sz="1100" b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ЗНАЧЕНИЕ ЕСЛИ ИСТИНА</a:t>
          </a:r>
        </a:p>
        <a:p>
          <a:pPr algn="ctr"/>
          <a:endParaRPr lang="en-US" sz="1100" b="1" baseline="0">
            <a:solidFill>
              <a:schemeClr val="tx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oneCellAnchor>
  <xdr:twoCellAnchor>
    <xdr:from>
      <xdr:col>9</xdr:col>
      <xdr:colOff>151986</xdr:colOff>
      <xdr:row>22</xdr:row>
      <xdr:rowOff>9525</xdr:rowOff>
    </xdr:from>
    <xdr:to>
      <xdr:col>14</xdr:col>
      <xdr:colOff>33131</xdr:colOff>
      <xdr:row>33</xdr:row>
      <xdr:rowOff>161925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5181186" y="4457700"/>
          <a:ext cx="3786395" cy="2476500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63502</xdr:colOff>
      <xdr:row>11</xdr:row>
      <xdr:rowOff>98424</xdr:rowOff>
    </xdr:from>
    <xdr:to>
      <xdr:col>15</xdr:col>
      <xdr:colOff>781051</xdr:colOff>
      <xdr:row>26</xdr:row>
      <xdr:rowOff>152400</xdr:rowOff>
    </xdr:to>
    <xdr:sp macro="" textlink="">
      <xdr:nvSpPr>
        <xdr:cNvPr id="2" name="Загнутый угол 2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SpPr/>
      </xdr:nvSpPr>
      <xdr:spPr>
        <a:xfrm>
          <a:off x="8197852" y="2898774"/>
          <a:ext cx="4632324" cy="3054351"/>
        </a:xfrm>
        <a:prstGeom prst="foldedCorner">
          <a:avLst>
            <a:gd name="adj" fmla="val 7756"/>
          </a:avLst>
        </a:prstGeom>
        <a:solidFill>
          <a:schemeClr val="accent6">
            <a:lumMod val="20000"/>
            <a:lumOff val="8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Доплату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сотрудникам в размере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2000 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., которые работают в 4-ю смену.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Определить </a:t>
          </a:r>
          <a:r>
            <a:rPr kumimoji="0" lang="ru-RU" sz="1100" b="1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Доплату </a:t>
          </a: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сотрудникам в размере </a:t>
          </a:r>
          <a:r>
            <a:rPr kumimoji="0" lang="ru-RU" sz="1100" b="1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3000 р</a:t>
          </a:r>
          <a:r>
            <a:rPr kumimoji="0" lang="ru-RU" sz="1100" b="0" i="0" u="none" strike="noStrike" kern="0" cap="none" spc="0" normalizeH="0" baseline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., которые работают в 1-ю или в 3-ю смены</a:t>
          </a:r>
          <a:r>
            <a:rPr lang="ru-RU" sz="1100" b="0" i="0" baseline="0">
              <a:effectLst/>
              <a:latin typeface="+mn-lt"/>
              <a:ea typeface="+mn-ea"/>
              <a:cs typeface="+mn-cs"/>
            </a:rPr>
            <a:t>. </a:t>
          </a: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Выплатить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Бонус</a:t>
          </a:r>
          <a:r>
            <a:rPr kumimoji="0" 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 размере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9000 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тем, кто работает более 5 лет и при этом их Грейд не менее 0,8.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Н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ачислить годовую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премию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сотрудникам в зависимости от стажа</a:t>
          </a: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12000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при стаже менее 5 лет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45% от оклада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при стаже от 5 до 10 лет включительно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65%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при стаже свыше 10 лет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 editAs="oneCell">
    <xdr:from>
      <xdr:col>4</xdr:col>
      <xdr:colOff>214645</xdr:colOff>
      <xdr:row>29</xdr:row>
      <xdr:rowOff>185530</xdr:rowOff>
    </xdr:from>
    <xdr:to>
      <xdr:col>5</xdr:col>
      <xdr:colOff>144531</xdr:colOff>
      <xdr:row>34</xdr:row>
      <xdr:rowOff>38100</xdr:rowOff>
    </xdr:to>
    <xdr:pic>
      <xdr:nvPicPr>
        <xdr:cNvPr id="4" name="Рисунок 3" descr="Лампочка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5243845" y="5024230"/>
          <a:ext cx="882386" cy="852695"/>
        </a:xfrm>
        <a:prstGeom prst="rect">
          <a:avLst/>
        </a:prstGeom>
      </xdr:spPr>
    </xdr:pic>
    <xdr:clientData/>
  </xdr:twoCellAnchor>
  <xdr:oneCellAnchor>
    <xdr:from>
      <xdr:col>5</xdr:col>
      <xdr:colOff>0</xdr:colOff>
      <xdr:row>27</xdr:row>
      <xdr:rowOff>104774</xdr:rowOff>
    </xdr:from>
    <xdr:ext cx="2828926" cy="176212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 txBox="1"/>
      </xdr:nvSpPr>
      <xdr:spPr>
        <a:xfrm>
          <a:off x="4352925" y="6105524"/>
          <a:ext cx="2828926" cy="176212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В случае, если в ячейке, которая не подходит под условие требуется указать пустоту (пустая ячейка), тогда в аргументе ЗНАЧЕНИЕ ЕСЛИ ЛОЖЬ указываются </a:t>
          </a:r>
        </a:p>
        <a:p>
          <a:pPr algn="ctr"/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пустые двойные кавычки без пробела</a:t>
          </a:r>
        </a:p>
        <a:p>
          <a:pPr algn="ctr"/>
          <a:r>
            <a:rPr lang="ru-RU" sz="1100" b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""</a:t>
          </a:r>
        </a:p>
        <a:p>
          <a:pPr algn="ctr"/>
          <a:endParaRPr lang="ru-RU" sz="1100" b="0" baseline="0">
            <a:solidFill>
              <a:schemeClr val="tx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r>
            <a:rPr lang="ru-RU" sz="1100" b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К примеру, =ЕСЛИ(</a:t>
          </a:r>
          <a:r>
            <a:rPr lang="en-US" sz="1100" b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D3=4;2000;"")</a:t>
          </a:r>
          <a:br>
            <a:rPr lang="ru-RU" sz="1100" b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</a:br>
          <a:endParaRPr lang="ru-RU" sz="1100" b="0" baseline="0">
            <a:solidFill>
              <a:schemeClr val="tx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endParaRPr lang="en-US" sz="1100" b="1" baseline="0">
            <a:solidFill>
              <a:schemeClr val="tx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oneCellAnchor>
  <xdr:twoCellAnchor>
    <xdr:from>
      <xdr:col>4</xdr:col>
      <xdr:colOff>151986</xdr:colOff>
      <xdr:row>27</xdr:row>
      <xdr:rowOff>9525</xdr:rowOff>
    </xdr:from>
    <xdr:to>
      <xdr:col>9</xdr:col>
      <xdr:colOff>33131</xdr:colOff>
      <xdr:row>35</xdr:row>
      <xdr:rowOff>180974</xdr:rowOff>
    </xdr:to>
    <xdr:sp macro="" textlink="">
      <xdr:nvSpPr>
        <xdr:cNvPr id="6" name="Прямоугольник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3552411" y="6010275"/>
          <a:ext cx="3910220" cy="1904999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676846</xdr:colOff>
      <xdr:row>14</xdr:row>
      <xdr:rowOff>69554</xdr:rowOff>
    </xdr:from>
    <xdr:ext cx="4560096" cy="937629"/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2258824" y="2786250"/>
          <a:ext cx="4560096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ru-RU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accent5"/>
              </a:solidFill>
              <a:effectLst>
                <a:outerShdw blurRad="12700" dist="38100" dir="2700000" algn="tl" rotWithShape="0">
                  <a:schemeClr val="accent5">
                    <a:lumMod val="60000"/>
                    <a:lumOff val="40000"/>
                  </a:schemeClr>
                </a:outerShdw>
              </a:effectLst>
            </a:rPr>
            <a:t>Текстовые ф-ц</a:t>
          </a:r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603705</xdr:colOff>
      <xdr:row>6</xdr:row>
      <xdr:rowOff>177469</xdr:rowOff>
    </xdr:from>
    <xdr:to>
      <xdr:col>9</xdr:col>
      <xdr:colOff>542617</xdr:colOff>
      <xdr:row>9</xdr:row>
      <xdr:rowOff>176578</xdr:rowOff>
    </xdr:to>
    <xdr:pic>
      <xdr:nvPicPr>
        <xdr:cNvPr id="2" name="Рисунок 1" descr="Лампочка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7937955" y="1547604"/>
          <a:ext cx="547047" cy="592589"/>
        </a:xfrm>
        <a:prstGeom prst="rect">
          <a:avLst/>
        </a:prstGeom>
      </xdr:spPr>
    </xdr:pic>
    <xdr:clientData/>
  </xdr:twoCellAnchor>
  <xdr:oneCellAnchor>
    <xdr:from>
      <xdr:col>7</xdr:col>
      <xdr:colOff>36635</xdr:colOff>
      <xdr:row>4</xdr:row>
      <xdr:rowOff>62692</xdr:rowOff>
    </xdr:from>
    <xdr:ext cx="2923443" cy="80921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 txBox="1"/>
      </xdr:nvSpPr>
      <xdr:spPr>
        <a:xfrm>
          <a:off x="6762750" y="1037173"/>
          <a:ext cx="2923443" cy="8092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Функция ПСТР </a:t>
          </a: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в 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Excel </a:t>
          </a: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предназначена для выделения подстроки из строки текста</a:t>
          </a:r>
          <a:endParaRPr lang="en-US" sz="11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7</xdr:col>
      <xdr:colOff>5449</xdr:colOff>
      <xdr:row>4</xdr:row>
      <xdr:rowOff>14778</xdr:rowOff>
    </xdr:from>
    <xdr:to>
      <xdr:col>11</xdr:col>
      <xdr:colOff>542192</xdr:colOff>
      <xdr:row>10</xdr:row>
      <xdr:rowOff>110637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6731564" y="989259"/>
          <a:ext cx="2969282" cy="1282820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9</xdr:col>
      <xdr:colOff>46858</xdr:colOff>
      <xdr:row>20</xdr:row>
      <xdr:rowOff>206777</xdr:rowOff>
    </xdr:from>
    <xdr:ext cx="547047" cy="592589"/>
    <xdr:pic>
      <xdr:nvPicPr>
        <xdr:cNvPr id="5" name="Рисунок 4" descr="Лампочка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7989243" y="4544315"/>
          <a:ext cx="547047" cy="592589"/>
        </a:xfrm>
        <a:prstGeom prst="rect">
          <a:avLst/>
        </a:prstGeom>
      </xdr:spPr>
    </xdr:pic>
    <xdr:clientData/>
  </xdr:oneCellAnchor>
  <xdr:oneCellAnchor>
    <xdr:from>
      <xdr:col>7</xdr:col>
      <xdr:colOff>14654</xdr:colOff>
      <xdr:row>12</xdr:row>
      <xdr:rowOff>70018</xdr:rowOff>
    </xdr:from>
    <xdr:ext cx="2923443" cy="1791019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SpPr txBox="1"/>
      </xdr:nvSpPr>
      <xdr:spPr>
        <a:xfrm>
          <a:off x="6740769" y="2758999"/>
          <a:ext cx="2923443" cy="179101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Функция ЛЕВСИМВ и ПРАСИМВ в </a:t>
          </a:r>
          <a:r>
            <a:rPr lang="en-US" sz="1100" baseline="0">
              <a:latin typeface="Arial" panose="020B0604020202020204" pitchFamily="34" charset="0"/>
              <a:cs typeface="Arial" panose="020B0604020202020204" pitchFamily="34" charset="0"/>
            </a:rPr>
            <a:t>Excel </a:t>
          </a: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отщепляют слева или справа от текста в ячейке требуемое количество символов.</a:t>
          </a:r>
        </a:p>
        <a:p>
          <a:pPr algn="ctr"/>
          <a:r>
            <a:rPr lang="ru-RU" sz="1100" b="0" i="1" baseline="0">
              <a:latin typeface="Arial" panose="020B0604020202020204" pitchFamily="34" charset="0"/>
              <a:cs typeface="Arial" panose="020B0604020202020204" pitchFamily="34" charset="0"/>
            </a:rPr>
            <a:t>К примеру, чтобы отщепить у номера автомобиля из ячейки </a:t>
          </a:r>
          <a:r>
            <a:rPr lang="en-US" sz="1100" b="0" i="1" baseline="0">
              <a:latin typeface="Arial" panose="020B0604020202020204" pitchFamily="34" charset="0"/>
              <a:cs typeface="Arial" panose="020B0604020202020204" pitchFamily="34" charset="0"/>
            </a:rPr>
            <a:t>E2 </a:t>
          </a:r>
          <a:r>
            <a:rPr lang="ru-RU" sz="1100" b="0" i="1" baseline="0">
              <a:latin typeface="Arial" panose="020B0604020202020204" pitchFamily="34" charset="0"/>
              <a:cs typeface="Arial" panose="020B0604020202020204" pitchFamily="34" charset="0"/>
            </a:rPr>
            <a:t>буквы, надо прописать</a:t>
          </a:r>
        </a:p>
        <a:p>
          <a:pPr algn="ctr"/>
          <a:endParaRPr lang="ru-RU" sz="1100" b="0" i="1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ru-RU" sz="1100" b="1" i="0" baseline="0">
              <a:latin typeface="Arial" panose="020B0604020202020204" pitchFamily="34" charset="0"/>
              <a:cs typeface="Arial" panose="020B0604020202020204" pitchFamily="34" charset="0"/>
            </a:rPr>
            <a:t>=ЛЕВСИМВ(</a:t>
          </a:r>
          <a:r>
            <a:rPr lang="en-US" sz="1100" b="1" i="0" baseline="0">
              <a:latin typeface="Arial" panose="020B0604020202020204" pitchFamily="34" charset="0"/>
              <a:cs typeface="Arial" panose="020B0604020202020204" pitchFamily="34" charset="0"/>
            </a:rPr>
            <a:t>E2;1)&amp;</a:t>
          </a:r>
          <a:r>
            <a:rPr lang="ru-RU" sz="1100" b="1" i="0" baseline="0">
              <a:latin typeface="Arial" panose="020B0604020202020204" pitchFamily="34" charset="0"/>
              <a:cs typeface="Arial" panose="020B0604020202020204" pitchFamily="34" charset="0"/>
            </a:rPr>
            <a:t>ПРАВСИМВ(</a:t>
          </a:r>
          <a:r>
            <a:rPr lang="en-US" sz="1100" b="1" i="0" baseline="0">
              <a:latin typeface="Arial" panose="020B0604020202020204" pitchFamily="34" charset="0"/>
              <a:cs typeface="Arial" panose="020B0604020202020204" pitchFamily="34" charset="0"/>
            </a:rPr>
            <a:t>E2;2)</a:t>
          </a:r>
          <a:endParaRPr lang="ru-RU" sz="1100" b="1" i="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endParaRPr lang="ru-RU" sz="1100" b="1" i="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ru-RU" sz="1100" b="0" i="1" baseline="0">
              <a:latin typeface="Arial" panose="020B0604020202020204" pitchFamily="34" charset="0"/>
              <a:cs typeface="Arial" panose="020B0604020202020204" pitchFamily="34" charset="0"/>
            </a:rPr>
            <a:t>Результат будет: </a:t>
          </a:r>
          <a:r>
            <a:rPr lang="en-US" sz="1100" b="0" i="1" baseline="0">
              <a:latin typeface="Arial" panose="020B0604020202020204" pitchFamily="34" charset="0"/>
              <a:cs typeface="Arial" panose="020B0604020202020204" pitchFamily="34" charset="0"/>
            </a:rPr>
            <a:t>AMP </a:t>
          </a:r>
        </a:p>
      </xdr:txBody>
    </xdr:sp>
    <xdr:clientData/>
  </xdr:oneCellAnchor>
  <xdr:twoCellAnchor>
    <xdr:from>
      <xdr:col>6</xdr:col>
      <xdr:colOff>606256</xdr:colOff>
      <xdr:row>11</xdr:row>
      <xdr:rowOff>153989</xdr:rowOff>
    </xdr:from>
    <xdr:to>
      <xdr:col>11</xdr:col>
      <xdr:colOff>534865</xdr:colOff>
      <xdr:row>24</xdr:row>
      <xdr:rowOff>36635</xdr:rowOff>
    </xdr:to>
    <xdr:sp macro="" textlink="">
      <xdr:nvSpPr>
        <xdr:cNvPr id="7" name="Прямоугольник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SpPr/>
      </xdr:nvSpPr>
      <xdr:spPr>
        <a:xfrm>
          <a:off x="6724237" y="2579201"/>
          <a:ext cx="2969282" cy="2652222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124240</xdr:colOff>
      <xdr:row>7</xdr:row>
      <xdr:rowOff>57977</xdr:rowOff>
    </xdr:from>
    <xdr:to>
      <xdr:col>13</xdr:col>
      <xdr:colOff>264472</xdr:colOff>
      <xdr:row>11</xdr:row>
      <xdr:rowOff>196180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59957" y="1441173"/>
          <a:ext cx="1266667" cy="9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468284</xdr:colOff>
      <xdr:row>16</xdr:row>
      <xdr:rowOff>44947</xdr:rowOff>
    </xdr:from>
    <xdr:to>
      <xdr:col>12</xdr:col>
      <xdr:colOff>502446</xdr:colOff>
      <xdr:row>19</xdr:row>
      <xdr:rowOff>44055</xdr:rowOff>
    </xdr:to>
    <xdr:pic>
      <xdr:nvPicPr>
        <xdr:cNvPr id="3" name="Рисунок 2" descr="Лампочка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rcRect l="15596" t="14679" r="13761" b="10091"/>
        <a:stretch/>
      </xdr:blipFill>
      <xdr:spPr>
        <a:xfrm>
          <a:off x="9604001" y="3217186"/>
          <a:ext cx="547684" cy="595456"/>
        </a:xfrm>
        <a:prstGeom prst="rect">
          <a:avLst/>
        </a:prstGeom>
      </xdr:spPr>
    </xdr:pic>
    <xdr:clientData/>
  </xdr:twoCellAnchor>
  <xdr:oneCellAnchor>
    <xdr:from>
      <xdr:col>9</xdr:col>
      <xdr:colOff>227135</xdr:colOff>
      <xdr:row>13</xdr:row>
      <xdr:rowOff>62692</xdr:rowOff>
    </xdr:from>
    <xdr:ext cx="2923443" cy="80921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 txBox="1"/>
      </xdr:nvSpPr>
      <xdr:spPr>
        <a:xfrm>
          <a:off x="8435200" y="2638583"/>
          <a:ext cx="2923443" cy="8092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Перед запуском этой команды </a:t>
          </a:r>
          <a:r>
            <a:rPr lang="ru-RU" sz="1100" u="sng" baseline="0">
              <a:latin typeface="Arial" panose="020B0604020202020204" pitchFamily="34" charset="0"/>
              <a:cs typeface="Arial" panose="020B0604020202020204" pitchFamily="34" charset="0"/>
            </a:rPr>
            <a:t>выделите нужный для разбора по столбцам столбец</a:t>
          </a:r>
          <a:endParaRPr lang="en-US" sz="1100" b="1" u="sng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9</xdr:col>
      <xdr:colOff>121405</xdr:colOff>
      <xdr:row>12</xdr:row>
      <xdr:rowOff>180429</xdr:rowOff>
    </xdr:from>
    <xdr:to>
      <xdr:col>14</xdr:col>
      <xdr:colOff>447261</xdr:colOff>
      <xdr:row>19</xdr:row>
      <xdr:rowOff>77506</xdr:rowOff>
    </xdr:to>
    <xdr:sp macro="" textlink="">
      <xdr:nvSpPr>
        <xdr:cNvPr id="5" name="Прямоугольник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SpPr/>
      </xdr:nvSpPr>
      <xdr:spPr>
        <a:xfrm>
          <a:off x="8329470" y="2557538"/>
          <a:ext cx="2992856" cy="1288555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8660</xdr:colOff>
      <xdr:row>19</xdr:row>
      <xdr:rowOff>17318</xdr:rowOff>
    </xdr:from>
    <xdr:to>
      <xdr:col>9</xdr:col>
      <xdr:colOff>1275327</xdr:colOff>
      <xdr:row>23</xdr:row>
      <xdr:rowOff>188651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98433" y="3654136"/>
          <a:ext cx="1266667" cy="933333"/>
        </a:xfrm>
        <a:prstGeom prst="rect">
          <a:avLst/>
        </a:prstGeom>
      </xdr:spPr>
    </xdr:pic>
    <xdr:clientData/>
  </xdr:twoCellAnchor>
  <xdr:twoCellAnchor>
    <xdr:from>
      <xdr:col>8</xdr:col>
      <xdr:colOff>519546</xdr:colOff>
      <xdr:row>19</xdr:row>
      <xdr:rowOff>155864</xdr:rowOff>
    </xdr:from>
    <xdr:to>
      <xdr:col>9</xdr:col>
      <xdr:colOff>640772</xdr:colOff>
      <xdr:row>21</xdr:row>
      <xdr:rowOff>17318</xdr:rowOff>
    </xdr:to>
    <xdr:cxnSp macro="">
      <xdr:nvCxnSpPr>
        <xdr:cNvPr id="4" name="Прямая со стрелкой 3"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CxnSpPr/>
      </xdr:nvCxnSpPr>
      <xdr:spPr>
        <a:xfrm flipV="1">
          <a:off x="11100955" y="3792682"/>
          <a:ext cx="1229590" cy="2424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453329</xdr:colOff>
      <xdr:row>34</xdr:row>
      <xdr:rowOff>145548</xdr:rowOff>
    </xdr:from>
    <xdr:ext cx="8345041" cy="655885"/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453329" y="7032123"/>
          <a:ext cx="8345041" cy="65588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ru-RU" sz="36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Дополнительно для</a:t>
          </a:r>
          <a:r>
            <a:rPr lang="ru-RU" sz="3600" b="1" cap="none" spc="0" baseline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 Эксель 2016 и выше</a:t>
          </a:r>
          <a:endParaRPr lang="ru-RU" sz="36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  <xdr:twoCellAnchor>
    <xdr:from>
      <xdr:col>5</xdr:col>
      <xdr:colOff>19050</xdr:colOff>
      <xdr:row>37</xdr:row>
      <xdr:rowOff>123827</xdr:rowOff>
    </xdr:from>
    <xdr:to>
      <xdr:col>5</xdr:col>
      <xdr:colOff>447675</xdr:colOff>
      <xdr:row>39</xdr:row>
      <xdr:rowOff>0</xdr:rowOff>
    </xdr:to>
    <xdr:cxnSp macro="">
      <xdr:nvCxnSpPr>
        <xdr:cNvPr id="5" name="Прямая со стрелкой 4"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CxnSpPr/>
      </xdr:nvCxnSpPr>
      <xdr:spPr>
        <a:xfrm flipV="1">
          <a:off x="9477375" y="7772402"/>
          <a:ext cx="428625" cy="26669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459633</xdr:colOff>
      <xdr:row>1</xdr:row>
      <xdr:rowOff>99425</xdr:rowOff>
    </xdr:from>
    <xdr:ext cx="685637" cy="2439578"/>
    <xdr:sp macro="" textlink="">
      <xdr:nvSpPr>
        <xdr:cNvPr id="2" name="Прямоугольник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2640858" y="699500"/>
          <a:ext cx="685637" cy="2439578"/>
        </a:xfrm>
        <a:prstGeom prst="rect">
          <a:avLst/>
        </a:prstGeom>
        <a:noFill/>
      </xdr:spPr>
      <xdr:txBody>
        <a:bodyPr vert="vert270" wrap="none" lIns="91440" tIns="45720" rIns="91440" bIns="45720">
          <a:spAutoFit/>
        </a:bodyPr>
        <a:lstStyle/>
        <a:p>
          <a:pPr algn="ctr"/>
          <a:r>
            <a:rPr lang="ru-RU" sz="32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ВЫПОЛНЕНО</a:t>
          </a:r>
        </a:p>
      </xdr:txBody>
    </xdr:sp>
    <xdr:clientData/>
  </xdr:oneCellAnchor>
  <xdr:oneCellAnchor>
    <xdr:from>
      <xdr:col>4</xdr:col>
      <xdr:colOff>581025</xdr:colOff>
      <xdr:row>1</xdr:row>
      <xdr:rowOff>95250</xdr:rowOff>
    </xdr:from>
    <xdr:ext cx="685637" cy="2439579"/>
    <xdr:sp macro="" textlink="">
      <xdr:nvSpPr>
        <xdr:cNvPr id="6" name="Прямоугольник 5">
          <a:extLst>
            <a:ext uri="{FF2B5EF4-FFF2-40B4-BE49-F238E27FC236}">
              <a16:creationId xmlns:a16="http://schemas.microsoft.com/office/drawing/2014/main" id="{00000000-0008-0000-2100-000006000000}"/>
            </a:ext>
          </a:extLst>
        </xdr:cNvPr>
        <xdr:cNvSpPr/>
      </xdr:nvSpPr>
      <xdr:spPr>
        <a:xfrm>
          <a:off x="8191500" y="695325"/>
          <a:ext cx="685637" cy="2439579"/>
        </a:xfrm>
        <a:prstGeom prst="rect">
          <a:avLst/>
        </a:prstGeom>
        <a:noFill/>
      </xdr:spPr>
      <xdr:txBody>
        <a:bodyPr vert="vert270" wrap="none" lIns="91440" tIns="45720" rIns="91440" bIns="45720">
          <a:spAutoFit/>
        </a:bodyPr>
        <a:lstStyle/>
        <a:p>
          <a:pPr algn="ctr"/>
          <a:r>
            <a:rPr lang="ru-RU" sz="3200" b="1" cap="none" spc="0">
              <a:ln w="6600">
                <a:solidFill>
                  <a:schemeClr val="accent2"/>
                </a:solidFill>
                <a:prstDash val="solid"/>
              </a:ln>
              <a:solidFill>
                <a:srgbClr val="FFFFFF"/>
              </a:solidFill>
              <a:effectLst>
                <a:outerShdw dist="38100" dir="2700000" algn="tl" rotWithShape="0">
                  <a:schemeClr val="accent2"/>
                </a:outerShdw>
              </a:effectLst>
            </a:rPr>
            <a:t>ВЫПОЛНЕНО</a:t>
          </a:r>
          <a:endParaRPr lang="ru-RU" sz="3200" b="1" cap="none" spc="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1315199</xdr:colOff>
      <xdr:row>5</xdr:row>
      <xdr:rowOff>64585</xdr:rowOff>
    </xdr:from>
    <xdr:ext cx="2951257" cy="937629"/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2505824" y="1017085"/>
          <a:ext cx="2951257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ru-RU" sz="5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Ф-ц даты</a:t>
          </a:r>
        </a:p>
      </xdr:txBody>
    </xdr:sp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52552</xdr:colOff>
      <xdr:row>11</xdr:row>
      <xdr:rowOff>185556</xdr:rowOff>
    </xdr:from>
    <xdr:to>
      <xdr:col>3</xdr:col>
      <xdr:colOff>408838</xdr:colOff>
      <xdr:row>13</xdr:row>
      <xdr:rowOff>151086</xdr:rowOff>
    </xdr:to>
    <xdr:pic>
      <xdr:nvPicPr>
        <xdr:cNvPr id="2" name="Рисунок 1" descr="Лампочка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3061138" y="2353315"/>
          <a:ext cx="356286" cy="359668"/>
        </a:xfrm>
        <a:prstGeom prst="rect">
          <a:avLst/>
        </a:prstGeom>
      </xdr:spPr>
    </xdr:pic>
    <xdr:clientData/>
  </xdr:twoCellAnchor>
  <xdr:oneCellAnchor>
    <xdr:from>
      <xdr:col>2</xdr:col>
      <xdr:colOff>899948</xdr:colOff>
      <xdr:row>10</xdr:row>
      <xdr:rowOff>85398</xdr:rowOff>
    </xdr:from>
    <xdr:ext cx="3744310" cy="61748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 txBox="1"/>
      </xdr:nvSpPr>
      <xdr:spPr>
        <a:xfrm>
          <a:off x="2463362" y="2056088"/>
          <a:ext cx="3744310" cy="617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По умолчанию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ТДАТА</a:t>
          </a: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 возвращает текущую дату и время, но если поставить формат ячейки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ВРЕМЯ</a:t>
          </a: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, то в ячейке будет только время</a:t>
          </a:r>
          <a:endParaRPr lang="en-US" sz="11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2</xdr:col>
      <xdr:colOff>906517</xdr:colOff>
      <xdr:row>10</xdr:row>
      <xdr:rowOff>3157</xdr:rowOff>
    </xdr:from>
    <xdr:to>
      <xdr:col>6</xdr:col>
      <xdr:colOff>335017</xdr:colOff>
      <xdr:row>14</xdr:row>
      <xdr:rowOff>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2601310" y="1973847"/>
          <a:ext cx="3777155" cy="785119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3</xdr:col>
      <xdr:colOff>0</xdr:colOff>
      <xdr:row>4</xdr:row>
      <xdr:rowOff>26276</xdr:rowOff>
    </xdr:from>
    <xdr:to>
      <xdr:col>4</xdr:col>
      <xdr:colOff>318595</xdr:colOff>
      <xdr:row>10</xdr:row>
      <xdr:rowOff>3157</xdr:rowOff>
    </xdr:to>
    <xdr:cxnSp macro="">
      <xdr:nvCxnSpPr>
        <xdr:cNvPr id="6" name="Прямая со стрелкой 5">
          <a:extLst>
            <a:ext uri="{FF2B5EF4-FFF2-40B4-BE49-F238E27FC236}">
              <a16:creationId xmlns:a16="http://schemas.microsoft.com/office/drawing/2014/main" id="{00000000-0008-0000-2300-000006000000}"/>
            </a:ext>
          </a:extLst>
        </xdr:cNvPr>
        <xdr:cNvCxnSpPr>
          <a:endCxn id="4" idx="0"/>
        </xdr:cNvCxnSpPr>
      </xdr:nvCxnSpPr>
      <xdr:spPr>
        <a:xfrm>
          <a:off x="3008586" y="814552"/>
          <a:ext cx="1481302" cy="11592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387569</xdr:colOff>
      <xdr:row>9</xdr:row>
      <xdr:rowOff>183931</xdr:rowOff>
    </xdr:from>
    <xdr:to>
      <xdr:col>8</xdr:col>
      <xdr:colOff>230065</xdr:colOff>
      <xdr:row>14</xdr:row>
      <xdr:rowOff>170015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2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31017" y="1957552"/>
          <a:ext cx="1419048" cy="971429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28902</xdr:colOff>
      <xdr:row>3</xdr:row>
      <xdr:rowOff>59120</xdr:rowOff>
    </xdr:from>
    <xdr:to>
      <xdr:col>6</xdr:col>
      <xdr:colOff>618625</xdr:colOff>
      <xdr:row>15</xdr:row>
      <xdr:rowOff>19706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4830816" y="650327"/>
          <a:ext cx="2534137" cy="2325413"/>
        </a:xfrm>
        <a:prstGeom prst="foldedCorner">
          <a:avLst>
            <a:gd name="adj" fmla="val 7756"/>
          </a:avLst>
        </a:prstGeom>
        <a:solidFill>
          <a:schemeClr val="accent6">
            <a:lumMod val="20000"/>
            <a:lumOff val="8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ычислить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Дату изготовления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, считая, что на изготовление заказа требуется 7 календарных дней после того, как заказ был оформлен.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Дату доставки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заказа при условии, что срок доставки заказа составляет 5 рабочих дней после изготовления, учитывая, что в мае есть праздники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 editAs="oneCell">
    <xdr:from>
      <xdr:col>0</xdr:col>
      <xdr:colOff>79702</xdr:colOff>
      <xdr:row>20</xdr:row>
      <xdr:rowOff>152710</xdr:rowOff>
    </xdr:from>
    <xdr:to>
      <xdr:col>0</xdr:col>
      <xdr:colOff>626749</xdr:colOff>
      <xdr:row>23</xdr:row>
      <xdr:rowOff>86633</xdr:rowOff>
    </xdr:to>
    <xdr:pic>
      <xdr:nvPicPr>
        <xdr:cNvPr id="3" name="Рисунок 2" descr="Лампочка"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79702" y="4094089"/>
          <a:ext cx="547047" cy="597389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18</xdr:row>
      <xdr:rowOff>85397</xdr:rowOff>
    </xdr:from>
    <xdr:ext cx="3138955" cy="127438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 txBox="1"/>
      </xdr:nvSpPr>
      <xdr:spPr>
        <a:xfrm>
          <a:off x="0" y="3632638"/>
          <a:ext cx="3138955" cy="12743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Если необходимо вычислить тоже самое, что в ДАТЕ ДОСТАВКИ но с настраиваемыми параметрами выходных, надо использовать функцию</a:t>
          </a:r>
        </a:p>
        <a:p>
          <a:pPr algn="ctr"/>
          <a:endParaRPr lang="ru-RU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РАБДЕНЬ.МЕЖД</a:t>
          </a:r>
          <a:endParaRPr lang="en-US" sz="11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0</xdr:col>
      <xdr:colOff>0</xdr:colOff>
      <xdr:row>18</xdr:row>
      <xdr:rowOff>55708</xdr:rowOff>
    </xdr:from>
    <xdr:to>
      <xdr:col>2</xdr:col>
      <xdr:colOff>816178</xdr:colOff>
      <xdr:row>24</xdr:row>
      <xdr:rowOff>20439</xdr:rowOff>
    </xdr:to>
    <xdr:sp macro="" textlink="">
      <xdr:nvSpPr>
        <xdr:cNvPr id="5" name="Прямоугольник 4"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SpPr/>
      </xdr:nvSpPr>
      <xdr:spPr>
        <a:xfrm>
          <a:off x="0" y="3602949"/>
          <a:ext cx="3200712" cy="1291662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3</xdr:col>
      <xdr:colOff>79702</xdr:colOff>
      <xdr:row>20</xdr:row>
      <xdr:rowOff>152710</xdr:rowOff>
    </xdr:from>
    <xdr:ext cx="547047" cy="597389"/>
    <xdr:pic>
      <xdr:nvPicPr>
        <xdr:cNvPr id="6" name="Рисунок 5" descr="Лампочка">
          <a:extLst>
            <a:ext uri="{FF2B5EF4-FFF2-40B4-BE49-F238E27FC236}">
              <a16:creationId xmlns:a16="http://schemas.microsoft.com/office/drawing/2014/main" id="{00000000-0008-0000-24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79702" y="4094089"/>
          <a:ext cx="547047" cy="597389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18</xdr:row>
      <xdr:rowOff>85396</xdr:rowOff>
    </xdr:from>
    <xdr:ext cx="3350173" cy="386912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SpPr txBox="1"/>
      </xdr:nvSpPr>
      <xdr:spPr>
        <a:xfrm>
          <a:off x="3783724" y="3632637"/>
          <a:ext cx="3350173" cy="38691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В </a:t>
          </a:r>
          <a:r>
            <a:rPr lang="ru-RU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РАБДЕНЬ.МЕЖД</a:t>
          </a:r>
          <a:r>
            <a:rPr lang="ru-RU" sz="11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ru-RU" sz="11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в</a:t>
          </a:r>
          <a:r>
            <a:rPr lang="ru-RU" sz="11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настраиваемых параметрах выходных можно выбрать один из стандартных вариантов с помощью цифр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Также можно предложить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свой вариант расписания схемы выходных</a:t>
          </a: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 указав вместо одной цифры значения выходных вручную 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(в данном случае </a:t>
          </a:r>
          <a:r>
            <a:rPr lang="ru-RU" sz="11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в кавычках)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"1000011" - выходные пн, сб и вс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"0101000" - выходные вт, чт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и так далее</a:t>
          </a:r>
        </a:p>
        <a:p>
          <a:pPr algn="ctr"/>
          <a:endParaRPr lang="ru-RU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endParaRPr lang="en-US" sz="11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3</xdr:col>
      <xdr:colOff>0</xdr:colOff>
      <xdr:row>18</xdr:row>
      <xdr:rowOff>55706</xdr:rowOff>
    </xdr:from>
    <xdr:to>
      <xdr:col>6</xdr:col>
      <xdr:colOff>394138</xdr:colOff>
      <xdr:row>37</xdr:row>
      <xdr:rowOff>78827</xdr:rowOff>
    </xdr:to>
    <xdr:sp macro="" textlink="">
      <xdr:nvSpPr>
        <xdr:cNvPr id="8" name="Прямоугольник 7"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SpPr/>
      </xdr:nvSpPr>
      <xdr:spPr>
        <a:xfrm>
          <a:off x="3783724" y="3602947"/>
          <a:ext cx="3356742" cy="3911949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3</xdr:col>
      <xdr:colOff>822644</xdr:colOff>
      <xdr:row>21</xdr:row>
      <xdr:rowOff>78828</xdr:rowOff>
    </xdr:from>
    <xdr:to>
      <xdr:col>5</xdr:col>
      <xdr:colOff>618721</xdr:colOff>
      <xdr:row>29</xdr:row>
      <xdr:rowOff>72259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6368" y="4217276"/>
          <a:ext cx="1871870" cy="17145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233983</xdr:colOff>
      <xdr:row>14</xdr:row>
      <xdr:rowOff>132521</xdr:rowOff>
    </xdr:from>
    <xdr:to>
      <xdr:col>9</xdr:col>
      <xdr:colOff>182632</xdr:colOff>
      <xdr:row>23</xdr:row>
      <xdr:rowOff>74448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6031809" y="3056282"/>
          <a:ext cx="3642693" cy="1672992"/>
        </a:xfrm>
        <a:prstGeom prst="foldedCorner">
          <a:avLst>
            <a:gd name="adj" fmla="val 7756"/>
          </a:avLst>
        </a:prstGeom>
        <a:solidFill>
          <a:schemeClr val="accent6">
            <a:lumMod val="20000"/>
            <a:lumOff val="8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Длительность в календарных днях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- количество дней от Даты начала до Даты окончания включительно.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О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пределить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Длительность в рабочих днях 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между Датой начала и Датой, учитывая праздничные дни.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 editAs="oneCell">
    <xdr:from>
      <xdr:col>0</xdr:col>
      <xdr:colOff>79702</xdr:colOff>
      <xdr:row>25</xdr:row>
      <xdr:rowOff>115957</xdr:rowOff>
    </xdr:from>
    <xdr:to>
      <xdr:col>1</xdr:col>
      <xdr:colOff>169549</xdr:colOff>
      <xdr:row>27</xdr:row>
      <xdr:rowOff>181883</xdr:rowOff>
    </xdr:to>
    <xdr:pic>
      <xdr:nvPicPr>
        <xdr:cNvPr id="3" name="Рисунок 2" descr="Лампочка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79702" y="5168348"/>
          <a:ext cx="545390" cy="529752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22</xdr:row>
      <xdr:rowOff>85397</xdr:rowOff>
    </xdr:from>
    <xdr:ext cx="3486978" cy="1231538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 txBox="1"/>
      </xdr:nvSpPr>
      <xdr:spPr>
        <a:xfrm>
          <a:off x="0" y="4549723"/>
          <a:ext cx="3486978" cy="123153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Если необходимо вычислить тоже самое, что в ДЛИТЕЛЬНОСТЬ, РАБОЧИЕ ДНИ но с настраиваемыми параметрами выходных, надо использовать функцию</a:t>
          </a:r>
        </a:p>
        <a:p>
          <a:pPr algn="ctr"/>
          <a:endParaRPr lang="ru-RU" sz="110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ЧИСТРАБДНИ.МЕЖД</a:t>
          </a:r>
          <a:endParaRPr lang="en-US" sz="11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0</xdr:col>
      <xdr:colOff>0</xdr:colOff>
      <xdr:row>22</xdr:row>
      <xdr:rowOff>55708</xdr:rowOff>
    </xdr:from>
    <xdr:to>
      <xdr:col>2</xdr:col>
      <xdr:colOff>816178</xdr:colOff>
      <xdr:row>28</xdr:row>
      <xdr:rowOff>20439</xdr:rowOff>
    </xdr:to>
    <xdr:sp macro="" textlink="">
      <xdr:nvSpPr>
        <xdr:cNvPr id="5" name="Прямоугольник 4">
          <a:extLst>
            <a:ext uri="{FF2B5EF4-FFF2-40B4-BE49-F238E27FC236}">
              <a16:creationId xmlns:a16="http://schemas.microsoft.com/office/drawing/2014/main" id="{00000000-0008-0000-2500-000005000000}"/>
            </a:ext>
          </a:extLst>
        </xdr:cNvPr>
        <xdr:cNvSpPr/>
      </xdr:nvSpPr>
      <xdr:spPr>
        <a:xfrm>
          <a:off x="0" y="3656158"/>
          <a:ext cx="3197428" cy="1298231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21982</xdr:colOff>
      <xdr:row>4</xdr:row>
      <xdr:rowOff>58615</xdr:rowOff>
    </xdr:from>
    <xdr:to>
      <xdr:col>11</xdr:col>
      <xdr:colOff>79132</xdr:colOff>
      <xdr:row>9</xdr:row>
      <xdr:rowOff>58615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6008078" y="893884"/>
          <a:ext cx="3574073" cy="989135"/>
        </a:xfrm>
        <a:prstGeom prst="foldedCorner">
          <a:avLst>
            <a:gd name="adj" fmla="val 7756"/>
          </a:avLst>
        </a:prstGeom>
        <a:solidFill>
          <a:schemeClr val="accent6">
            <a:lumMod val="20000"/>
            <a:lumOff val="8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</a:t>
          </a: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Возраст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 сотрудников на текущую дату. Показать ответ в полных годах.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</xdr:txBody>
    </xdr:sp>
    <xdr:clientData/>
  </xdr:twoCellAnchor>
  <xdr:twoCellAnchor editAs="oneCell">
    <xdr:from>
      <xdr:col>8</xdr:col>
      <xdr:colOff>46858</xdr:colOff>
      <xdr:row>15</xdr:row>
      <xdr:rowOff>1623</xdr:rowOff>
    </xdr:from>
    <xdr:to>
      <xdr:col>8</xdr:col>
      <xdr:colOff>593905</xdr:colOff>
      <xdr:row>17</xdr:row>
      <xdr:rowOff>65941</xdr:rowOff>
    </xdr:to>
    <xdr:pic>
      <xdr:nvPicPr>
        <xdr:cNvPr id="6" name="Рисунок 5" descr="Лампочка"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7578935" y="3078931"/>
          <a:ext cx="547047" cy="525914"/>
        </a:xfrm>
        <a:prstGeom prst="rect">
          <a:avLst/>
        </a:prstGeom>
      </xdr:spPr>
    </xdr:pic>
    <xdr:clientData/>
  </xdr:twoCellAnchor>
  <xdr:oneCellAnchor>
    <xdr:from>
      <xdr:col>6</xdr:col>
      <xdr:colOff>73269</xdr:colOff>
      <xdr:row>12</xdr:row>
      <xdr:rowOff>55366</xdr:rowOff>
    </xdr:from>
    <xdr:ext cx="3436327" cy="80921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2600-000007000000}"/>
            </a:ext>
          </a:extLst>
        </xdr:cNvPr>
        <xdr:cNvSpPr txBox="1"/>
      </xdr:nvSpPr>
      <xdr:spPr>
        <a:xfrm>
          <a:off x="6059365" y="2473251"/>
          <a:ext cx="3436327" cy="8092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Вариант написания расчета полных лет с вшитой внутрь текущей датой</a:t>
          </a:r>
        </a:p>
        <a:p>
          <a:pPr algn="ctr"/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=ЦЕЛОЕ(ДОЛЯГОДА(</a:t>
          </a:r>
          <a:r>
            <a:rPr lang="en-US" sz="1100" b="1" baseline="0">
              <a:latin typeface="Arial" panose="020B0604020202020204" pitchFamily="34" charset="0"/>
              <a:cs typeface="Arial" panose="020B0604020202020204" pitchFamily="34" charset="0"/>
            </a:rPr>
            <a:t>D3;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СЕГОДНЯ();1))</a:t>
          </a:r>
          <a:endParaRPr lang="en-US" sz="11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6</xdr:col>
      <xdr:colOff>64064</xdr:colOff>
      <xdr:row>12</xdr:row>
      <xdr:rowOff>29432</xdr:rowOff>
    </xdr:from>
    <xdr:to>
      <xdr:col>10</xdr:col>
      <xdr:colOff>600807</xdr:colOff>
      <xdr:row>17</xdr:row>
      <xdr:rowOff>191232</xdr:rowOff>
    </xdr:to>
    <xdr:sp macro="" textlink="">
      <xdr:nvSpPr>
        <xdr:cNvPr id="8" name="Прямоугольник 7">
          <a:extLst>
            <a:ext uri="{FF2B5EF4-FFF2-40B4-BE49-F238E27FC236}">
              <a16:creationId xmlns:a16="http://schemas.microsoft.com/office/drawing/2014/main" id="{00000000-0008-0000-2600-000008000000}"/>
            </a:ext>
          </a:extLst>
        </xdr:cNvPr>
        <xdr:cNvSpPr/>
      </xdr:nvSpPr>
      <xdr:spPr>
        <a:xfrm>
          <a:off x="6050160" y="2447317"/>
          <a:ext cx="3445532" cy="1282819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123824</xdr:colOff>
      <xdr:row>1</xdr:row>
      <xdr:rowOff>190500</xdr:rowOff>
    </xdr:from>
    <xdr:to>
      <xdr:col>12</xdr:col>
      <xdr:colOff>76199</xdr:colOff>
      <xdr:row>7</xdr:row>
      <xdr:rowOff>123825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SpPr/>
      </xdr:nvSpPr>
      <xdr:spPr>
        <a:xfrm>
          <a:off x="5734049" y="571500"/>
          <a:ext cx="4752975" cy="1133475"/>
        </a:xfrm>
        <a:prstGeom prst="foldedCorner">
          <a:avLst>
            <a:gd name="adj" fmla="val 7756"/>
          </a:avLst>
        </a:prstGeom>
        <a:solidFill>
          <a:srgbClr val="FFFF99"/>
        </a:solidFill>
        <a:ln w="19050" cap="flat" cmpd="sng" algn="ctr">
          <a:solidFill>
            <a:srgbClr val="4F81BD">
              <a:shade val="50000"/>
            </a:srgbClr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ЗАДАНИЕ: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Arial" pitchFamily="34" charset="0"/>
            <a:ea typeface="+mn-ea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Р</a:t>
          </a: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ассчитать длительность как в календарных, так и в рабочих днях.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rgbClr val="000066"/>
              </a:solidFill>
              <a:effectLst/>
              <a:uLnTx/>
              <a:uFillTx/>
              <a:latin typeface="Arial" pitchFamily="34" charset="0"/>
              <a:ea typeface="+mn-ea"/>
              <a:cs typeface="Arial" pitchFamily="34" charset="0"/>
            </a:rPr>
            <a:t>При рассчете рабочих дней учитывать, что 31.12.2012 объявлен выходным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113533</xdr:colOff>
      <xdr:row>6</xdr:row>
      <xdr:rowOff>11148</xdr:rowOff>
    </xdr:from>
    <xdr:to>
      <xdr:col>12</xdr:col>
      <xdr:colOff>308155</xdr:colOff>
      <xdr:row>9</xdr:row>
      <xdr:rowOff>37366</xdr:rowOff>
    </xdr:to>
    <xdr:pic>
      <xdr:nvPicPr>
        <xdr:cNvPr id="2" name="Рисунок 1" descr="Лампочка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8400283" y="1344648"/>
          <a:ext cx="547047" cy="616768"/>
        </a:xfrm>
        <a:prstGeom prst="rect">
          <a:avLst/>
        </a:prstGeom>
      </xdr:spPr>
    </xdr:pic>
    <xdr:clientData/>
  </xdr:twoCellAnchor>
  <xdr:oneCellAnchor>
    <xdr:from>
      <xdr:col>6</xdr:col>
      <xdr:colOff>73269</xdr:colOff>
      <xdr:row>0</xdr:row>
      <xdr:rowOff>123825</xdr:rowOff>
    </xdr:from>
    <xdr:ext cx="4108206" cy="1943100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 txBox="1"/>
      </xdr:nvSpPr>
      <xdr:spPr>
        <a:xfrm>
          <a:off x="6597894" y="123825"/>
          <a:ext cx="4108206" cy="1943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Выбор параметра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ЗАВИСИМЫЕ ЯЧЕЙКИ </a:t>
          </a:r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показывает, какие ячейки зависят от текущей, в которой, как правило, нет формул</a:t>
          </a:r>
        </a:p>
        <a:p>
          <a:pPr algn="ctr"/>
          <a:endParaRPr lang="ru-RU" sz="1100" b="0" baseline="0">
            <a:latin typeface="Arial" panose="020B0604020202020204" pitchFamily="34" charset="0"/>
            <a:cs typeface="Arial" panose="020B0604020202020204" pitchFamily="34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ru-RU" sz="1100" b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Выбор параметра </a:t>
          </a:r>
          <a:r>
            <a:rPr lang="ru-RU" sz="1100" b="1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ВЛИЯЮЩИЕ ЯЧЕЙКИ </a:t>
          </a:r>
          <a:r>
            <a:rPr lang="ru-RU" sz="1100" b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показывает, какие ячейки влияют на текущую, в которой, как правило, есть формула или функция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100" b="0" baseline="0">
            <a:solidFill>
              <a:schemeClr val="tx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endParaRPr lang="en-US" sz="11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6</xdr:col>
      <xdr:colOff>35489</xdr:colOff>
      <xdr:row>0</xdr:row>
      <xdr:rowOff>857</xdr:rowOff>
    </xdr:from>
    <xdr:to>
      <xdr:col>18</xdr:col>
      <xdr:colOff>9525</xdr:colOff>
      <xdr:row>10</xdr:row>
      <xdr:rowOff>38100</xdr:rowOff>
    </xdr:to>
    <xdr:sp macro="" textlink="">
      <xdr:nvSpPr>
        <xdr:cNvPr id="4" name="Прямоугольник 3"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6560114" y="857"/>
          <a:ext cx="4203136" cy="2151793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0</xdr:col>
      <xdr:colOff>0</xdr:colOff>
      <xdr:row>33</xdr:row>
      <xdr:rowOff>38100</xdr:rowOff>
    </xdr:from>
    <xdr:to>
      <xdr:col>2</xdr:col>
      <xdr:colOff>142471</xdr:colOff>
      <xdr:row>37</xdr:row>
      <xdr:rowOff>9412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43675"/>
          <a:ext cx="3228571" cy="904762"/>
        </a:xfrm>
        <a:prstGeom prst="rect">
          <a:avLst/>
        </a:prstGeom>
      </xdr:spPr>
    </xdr:pic>
    <xdr:clientData/>
  </xdr:twoCellAnchor>
  <xdr:oneCellAnchor>
    <xdr:from>
      <xdr:col>25</xdr:col>
      <xdr:colOff>219075</xdr:colOff>
      <xdr:row>2</xdr:row>
      <xdr:rowOff>106398</xdr:rowOff>
    </xdr:from>
    <xdr:ext cx="574855" cy="616768"/>
    <xdr:pic>
      <xdr:nvPicPr>
        <xdr:cNvPr id="6" name="Рисунок 5" descr="Лампочка">
          <a:extLst>
            <a:ext uri="{FF2B5EF4-FFF2-40B4-BE49-F238E27FC236}">
              <a16:creationId xmlns:a16="http://schemas.microsoft.com/office/drawing/2014/main" id="{00000000-0008-0000-28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14697075" y="506448"/>
          <a:ext cx="574855" cy="616768"/>
        </a:xfrm>
        <a:prstGeom prst="rect">
          <a:avLst/>
        </a:prstGeom>
      </xdr:spPr>
    </xdr:pic>
    <xdr:clientData/>
  </xdr:oneCellAnchor>
  <xdr:oneCellAnchor>
    <xdr:from>
      <xdr:col>19</xdr:col>
      <xdr:colOff>44693</xdr:colOff>
      <xdr:row>0</xdr:row>
      <xdr:rowOff>76200</xdr:rowOff>
    </xdr:from>
    <xdr:ext cx="3336681" cy="196215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2800-000007000000}"/>
            </a:ext>
          </a:extLst>
        </xdr:cNvPr>
        <xdr:cNvSpPr txBox="1"/>
      </xdr:nvSpPr>
      <xdr:spPr>
        <a:xfrm>
          <a:off x="11150843" y="76200"/>
          <a:ext cx="3336681" cy="19621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Ошибка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ЗНАЧ</a:t>
          </a:r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 - это </a:t>
          </a:r>
          <a:r>
            <a:rPr lang="ru-RU" sz="1100" b="0" u="sng" baseline="0">
              <a:latin typeface="Arial" panose="020B0604020202020204" pitchFamily="34" charset="0"/>
              <a:cs typeface="Arial" panose="020B0604020202020204" pitchFamily="34" charset="0"/>
            </a:rPr>
            <a:t>ошибка в содержимом ячейки</a:t>
          </a:r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, к примеру, число в одной ячейке складывается с надписью (текстом) в другой</a:t>
          </a:r>
        </a:p>
        <a:p>
          <a:pPr algn="ctr"/>
          <a:endParaRPr lang="ru-RU" sz="1100" b="1" baseline="0">
            <a:solidFill>
              <a:schemeClr val="tx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r>
            <a:rPr lang="ru-RU" sz="1100" b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Ошибка</a:t>
          </a:r>
          <a:r>
            <a:rPr lang="ru-RU" sz="1100" b="1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ИМЯ </a:t>
          </a:r>
          <a:r>
            <a:rPr lang="ru-RU" sz="1100" b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- </a:t>
          </a:r>
          <a:r>
            <a:rPr lang="ru-RU" sz="1100" b="0" u="sng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это ошибка в названии </a:t>
          </a:r>
          <a:r>
            <a:rPr lang="ru-RU" sz="1100" b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(имени или ссылке) самой ячейки, к примеру вместо английской </a:t>
          </a:r>
          <a:r>
            <a:rPr lang="en-US" sz="1100" b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</a:t>
          </a:r>
          <a:r>
            <a:rPr lang="ru-RU" sz="1100" b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(эй) в ссылке на ячейку </a:t>
          </a:r>
          <a:r>
            <a:rPr lang="en-US" sz="1100" b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A1</a:t>
          </a:r>
          <a:r>
            <a:rPr lang="ru-RU" sz="1100" b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, написана русская А. Также ошибка имя может быть следствием удаленного имени ячейки, которое было ей присвоено ранее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ru-RU" sz="1100" b="0" baseline="0">
            <a:solidFill>
              <a:schemeClr val="tx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pPr algn="ctr"/>
          <a:endParaRPr lang="en-US" sz="11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19</xdr:col>
      <xdr:colOff>35489</xdr:colOff>
      <xdr:row>0</xdr:row>
      <xdr:rowOff>0</xdr:rowOff>
    </xdr:from>
    <xdr:to>
      <xdr:col>27</xdr:col>
      <xdr:colOff>19050</xdr:colOff>
      <xdr:row>10</xdr:row>
      <xdr:rowOff>37243</xdr:rowOff>
    </xdr:to>
    <xdr:sp macro="" textlink="">
      <xdr:nvSpPr>
        <xdr:cNvPr id="8" name="Прямоугольник 7">
          <a:extLst>
            <a:ext uri="{FF2B5EF4-FFF2-40B4-BE49-F238E27FC236}">
              <a16:creationId xmlns:a16="http://schemas.microsoft.com/office/drawing/2014/main" id="{00000000-0008-0000-2800-000008000000}"/>
            </a:ext>
          </a:extLst>
        </xdr:cNvPr>
        <xdr:cNvSpPr/>
      </xdr:nvSpPr>
      <xdr:spPr>
        <a:xfrm>
          <a:off x="11141639" y="0"/>
          <a:ext cx="4231711" cy="2151793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 editAs="oneCell">
    <xdr:from>
      <xdr:col>5</xdr:col>
      <xdr:colOff>136852</xdr:colOff>
      <xdr:row>31</xdr:row>
      <xdr:rowOff>58806</xdr:rowOff>
    </xdr:from>
    <xdr:to>
      <xdr:col>5</xdr:col>
      <xdr:colOff>695325</xdr:colOff>
      <xdr:row>34</xdr:row>
      <xdr:rowOff>28575</xdr:rowOff>
    </xdr:to>
    <xdr:pic>
      <xdr:nvPicPr>
        <xdr:cNvPr id="9" name="Рисунок 8" descr="Лампочка">
          <a:extLst>
            <a:ext uri="{FF2B5EF4-FFF2-40B4-BE49-F238E27FC236}">
              <a16:creationId xmlns:a16="http://schemas.microsoft.com/office/drawing/2014/main" id="{00000000-0008-0000-28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rcRect l="15596" t="14679" r="13761" b="10091"/>
        <a:stretch/>
      </xdr:blipFill>
      <xdr:spPr>
        <a:xfrm>
          <a:off x="5785177" y="6221481"/>
          <a:ext cx="558473" cy="560319"/>
        </a:xfrm>
        <a:prstGeom prst="rect">
          <a:avLst/>
        </a:prstGeom>
      </xdr:spPr>
    </xdr:pic>
    <xdr:clientData/>
  </xdr:twoCellAnchor>
  <xdr:oneCellAnchor>
    <xdr:from>
      <xdr:col>5</xdr:col>
      <xdr:colOff>733425</xdr:colOff>
      <xdr:row>31</xdr:row>
      <xdr:rowOff>56822</xdr:rowOff>
    </xdr:from>
    <xdr:ext cx="3486978" cy="667078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2800-00000A000000}"/>
            </a:ext>
          </a:extLst>
        </xdr:cNvPr>
        <xdr:cNvSpPr txBox="1"/>
      </xdr:nvSpPr>
      <xdr:spPr>
        <a:xfrm>
          <a:off x="6381750" y="6219497"/>
          <a:ext cx="3486978" cy="6670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Частой причиной </a:t>
          </a:r>
          <a:r>
            <a:rPr lang="ru-RU" sz="1100" b="0" baseline="0">
              <a:latin typeface="Arial" panose="020B0604020202020204" pitchFamily="34" charset="0"/>
              <a:cs typeface="Arial" panose="020B0604020202020204" pitchFamily="34" charset="0"/>
            </a:rPr>
            <a:t>возникновения ошибки 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ССЫЛКА </a:t>
          </a: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является </a:t>
          </a:r>
          <a:r>
            <a:rPr lang="ru-RU" sz="1100" u="sng" baseline="0">
              <a:latin typeface="Arial" panose="020B0604020202020204" pitchFamily="34" charset="0"/>
              <a:cs typeface="Arial" panose="020B0604020202020204" pitchFamily="34" charset="0"/>
            </a:rPr>
            <a:t>удаление листа</a:t>
          </a:r>
          <a:r>
            <a:rPr lang="ru-RU" sz="1100" baseline="0">
              <a:latin typeface="Arial" panose="020B0604020202020204" pitchFamily="34" charset="0"/>
              <a:cs typeface="Arial" panose="020B0604020202020204" pitchFamily="34" charset="0"/>
            </a:rPr>
            <a:t>, на который ссылались Ваши данные</a:t>
          </a:r>
          <a:endParaRPr lang="en-US" sz="1100" b="1" baseline="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oneCellAnchor>
  <xdr:twoCellAnchor>
    <xdr:from>
      <xdr:col>4</xdr:col>
      <xdr:colOff>933449</xdr:colOff>
      <xdr:row>31</xdr:row>
      <xdr:rowOff>55708</xdr:rowOff>
    </xdr:from>
    <xdr:to>
      <xdr:col>15</xdr:col>
      <xdr:colOff>323849</xdr:colOff>
      <xdr:row>34</xdr:row>
      <xdr:rowOff>152400</xdr:rowOff>
    </xdr:to>
    <xdr:sp macro="" textlink="">
      <xdr:nvSpPr>
        <xdr:cNvPr id="11" name="Прямоугольник 10">
          <a:extLst>
            <a:ext uri="{FF2B5EF4-FFF2-40B4-BE49-F238E27FC236}">
              <a16:creationId xmlns:a16="http://schemas.microsoft.com/office/drawing/2014/main" id="{00000000-0008-0000-2800-00000B000000}"/>
            </a:ext>
          </a:extLst>
        </xdr:cNvPr>
        <xdr:cNvSpPr/>
      </xdr:nvSpPr>
      <xdr:spPr>
        <a:xfrm>
          <a:off x="5648324" y="6218383"/>
          <a:ext cx="4371975" cy="687242"/>
        </a:xfrm>
        <a:prstGeom prst="rect">
          <a:avLst/>
        </a:prstGeom>
        <a:noFill/>
        <a:ln w="19050">
          <a:solidFill>
            <a:srgbClr val="EEBD2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1</xdr:row>
      <xdr:rowOff>19051</xdr:rowOff>
    </xdr:from>
    <xdr:to>
      <xdr:col>9</xdr:col>
      <xdr:colOff>266700</xdr:colOff>
      <xdr:row>5</xdr:row>
      <xdr:rowOff>171450</xdr:rowOff>
    </xdr:to>
    <xdr:sp macro="" textlink="">
      <xdr:nvSpPr>
        <xdr:cNvPr id="2" name="Загнутый угол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SpPr/>
      </xdr:nvSpPr>
      <xdr:spPr>
        <a:xfrm>
          <a:off x="3790950" y="209551"/>
          <a:ext cx="2609850" cy="1104899"/>
        </a:xfrm>
        <a:prstGeom prst="foldedCorner">
          <a:avLst>
            <a:gd name="adj" fmla="val 7756"/>
          </a:avLst>
        </a:prstGeom>
        <a:solidFill>
          <a:schemeClr val="accent6">
            <a:lumMod val="20000"/>
            <a:lumOff val="80000"/>
          </a:schemeClr>
        </a:solidFill>
        <a:ln w="1905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ru-RU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Arial" pitchFamily="34" charset="0"/>
            <a:cs typeface="Arial" pitchFamily="34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ru-RU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Arial" pitchFamily="34" charset="0"/>
              <a:cs typeface="Arial" pitchFamily="34" charset="0"/>
            </a:rPr>
            <a:t>Выявить причину ошибки и исправить их.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0;&#1091;&#1088;&#1089;%20&#1076;&#1086;&#1083;&#108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урсДолл"/>
    </sheetNames>
    <sheetDataSet>
      <sheetData sheetId="0">
        <row r="10">
          <cell r="G10">
            <v>73.97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vchmel@edubmstu.ru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hyperlink" Target="mailto:Dynina_Renata_Tihonovna@mail.com" TargetMode="External"/><Relationship Id="rId13" Type="http://schemas.openxmlformats.org/officeDocument/2006/relationships/hyperlink" Target="mailto:Stepnov_Pavel_Davidovich@mail.com" TargetMode="External"/><Relationship Id="rId3" Type="http://schemas.openxmlformats.org/officeDocument/2006/relationships/hyperlink" Target="mailto:Myshkin_Timofej_Petrovich@mail.com" TargetMode="External"/><Relationship Id="rId7" Type="http://schemas.openxmlformats.org/officeDocument/2006/relationships/hyperlink" Target="mailto:Yablokov_Vasilij_Yurevich@mail.com" TargetMode="External"/><Relationship Id="rId12" Type="http://schemas.openxmlformats.org/officeDocument/2006/relationships/hyperlink" Target="mailto:Rogov_Platon_Romanovich@mail.com" TargetMode="External"/><Relationship Id="rId2" Type="http://schemas.openxmlformats.org/officeDocument/2006/relationships/hyperlink" Target="mailto:Homyakov_Denis_Semenovich@mail.com" TargetMode="External"/><Relationship Id="rId1" Type="http://schemas.openxmlformats.org/officeDocument/2006/relationships/hyperlink" Target="mailto:Romashkin_Petr_Osipovich@mail.com" TargetMode="External"/><Relationship Id="rId6" Type="http://schemas.openxmlformats.org/officeDocument/2006/relationships/hyperlink" Target="mailto:Vishneva_Yuliya_Haritonovna@mail.com" TargetMode="External"/><Relationship Id="rId11" Type="http://schemas.openxmlformats.org/officeDocument/2006/relationships/hyperlink" Target="mailto:Pticin_Roman_Dmitrievich@mail.com" TargetMode="External"/><Relationship Id="rId5" Type="http://schemas.openxmlformats.org/officeDocument/2006/relationships/hyperlink" Target="mailto:Myshkina_Marina_Platonovna@mail.com" TargetMode="External"/><Relationship Id="rId15" Type="http://schemas.openxmlformats.org/officeDocument/2006/relationships/drawing" Target="../drawings/drawing25.xml"/><Relationship Id="rId10" Type="http://schemas.openxmlformats.org/officeDocument/2006/relationships/hyperlink" Target="mailto:Vishnev_Yakov_Leontevich@mail.com" TargetMode="External"/><Relationship Id="rId4" Type="http://schemas.openxmlformats.org/officeDocument/2006/relationships/hyperlink" Target="mailto:Udodov_Leonid_Nikolaevich@mail.com" TargetMode="External"/><Relationship Id="rId9" Type="http://schemas.openxmlformats.org/officeDocument/2006/relationships/hyperlink" Target="mailto:Limonov_Ulrih_Vasilevich@mail.com" TargetMode="External"/><Relationship Id="rId14" Type="http://schemas.openxmlformats.org/officeDocument/2006/relationships/hyperlink" Target="mailto:Yuzhnyj_Stanislav_Trofimovich@mail.com" TargetMode="Externa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6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1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1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3292C5"/>
  </sheetPr>
  <dimension ref="A1:J35"/>
  <sheetViews>
    <sheetView showGridLines="0" topLeftCell="A2" zoomScale="115" zoomScaleNormal="115" workbookViewId="0">
      <selection activeCell="I28" sqref="I28"/>
    </sheetView>
  </sheetViews>
  <sheetFormatPr baseColWidth="10" defaultColWidth="0" defaultRowHeight="12.75" customHeight="1" zeroHeight="1"/>
  <cols>
    <col min="1" max="10" width="9.1640625" style="2" customWidth="1"/>
    <col min="11" max="16384" width="9.1640625" style="2" hidden="1"/>
  </cols>
  <sheetData>
    <row r="1" spans="1:10" ht="13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ht="1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3">
      <c r="A3" s="1"/>
      <c r="B3" s="389" t="s">
        <v>2</v>
      </c>
      <c r="C3" s="389"/>
      <c r="D3" s="389"/>
      <c r="E3" s="389"/>
      <c r="F3" s="389"/>
      <c r="G3" s="389"/>
      <c r="H3" s="389"/>
      <c r="I3" s="389"/>
      <c r="J3" s="1"/>
    </row>
    <row r="4" spans="1:10" ht="13">
      <c r="A4" s="1"/>
      <c r="B4" s="389"/>
      <c r="C4" s="389"/>
      <c r="D4" s="389"/>
      <c r="E4" s="389"/>
      <c r="F4" s="389"/>
      <c r="G4" s="389"/>
      <c r="H4" s="389"/>
      <c r="I4" s="389"/>
      <c r="J4" s="1"/>
    </row>
    <row r="5" spans="1:10" ht="13">
      <c r="A5" s="1"/>
      <c r="B5" s="1"/>
      <c r="C5" s="1"/>
      <c r="D5" s="1"/>
      <c r="E5" s="1"/>
      <c r="F5" s="1"/>
      <c r="G5" s="1"/>
      <c r="H5" s="1"/>
      <c r="I5" s="1"/>
      <c r="J5" s="1"/>
    </row>
    <row r="6" spans="1:10" ht="12.75" customHeight="1">
      <c r="A6" s="1"/>
      <c r="B6" s="390" t="s">
        <v>1137</v>
      </c>
      <c r="C6" s="390"/>
      <c r="D6" s="390"/>
      <c r="E6" s="390"/>
      <c r="F6" s="390"/>
      <c r="G6" s="390"/>
      <c r="H6" s="390"/>
      <c r="I6" s="390"/>
      <c r="J6" s="1"/>
    </row>
    <row r="7" spans="1:10" ht="12.75" customHeight="1">
      <c r="A7" s="1"/>
      <c r="B7" s="390"/>
      <c r="C7" s="390"/>
      <c r="D7" s="390"/>
      <c r="E7" s="390"/>
      <c r="F7" s="390"/>
      <c r="G7" s="390"/>
      <c r="H7" s="390"/>
      <c r="I7" s="390"/>
      <c r="J7" s="1"/>
    </row>
    <row r="8" spans="1:10" ht="13">
      <c r="A8" s="1"/>
      <c r="B8" s="390"/>
      <c r="C8" s="390"/>
      <c r="D8" s="390"/>
      <c r="E8" s="390"/>
      <c r="F8" s="390"/>
      <c r="G8" s="390"/>
      <c r="H8" s="390"/>
      <c r="I8" s="390"/>
      <c r="J8" s="1"/>
    </row>
    <row r="9" spans="1:10" ht="13">
      <c r="A9" s="1"/>
      <c r="B9" s="3"/>
      <c r="C9" s="3"/>
      <c r="D9" s="3"/>
      <c r="E9" s="3"/>
      <c r="F9" s="3"/>
      <c r="G9" s="3"/>
      <c r="H9" s="3"/>
      <c r="I9" s="3"/>
      <c r="J9" s="1"/>
    </row>
    <row r="10" spans="1:10" ht="12.75" customHeight="1">
      <c r="A10" s="1"/>
      <c r="B10" s="391" t="s">
        <v>1086</v>
      </c>
      <c r="C10" s="391"/>
      <c r="D10" s="391"/>
      <c r="E10" s="391"/>
      <c r="F10" s="391"/>
      <c r="G10" s="391"/>
      <c r="H10" s="391"/>
      <c r="I10" s="391"/>
      <c r="J10" s="1"/>
    </row>
    <row r="11" spans="1:10" ht="28.5" customHeight="1">
      <c r="A11" s="1"/>
      <c r="B11" s="391"/>
      <c r="C11" s="391"/>
      <c r="D11" s="391"/>
      <c r="E11" s="391"/>
      <c r="F11" s="391"/>
      <c r="G11" s="391"/>
      <c r="H11" s="391"/>
      <c r="I11" s="391"/>
      <c r="J11" s="1"/>
    </row>
    <row r="12" spans="1:10" ht="13">
      <c r="A12" s="1"/>
      <c r="B12" s="1"/>
      <c r="C12" s="1"/>
      <c r="D12" s="1"/>
      <c r="E12" s="1"/>
      <c r="F12" s="1"/>
      <c r="G12" s="1"/>
      <c r="H12" s="1"/>
      <c r="I12" s="1"/>
      <c r="J12" s="1"/>
    </row>
    <row r="13" spans="1:10" ht="13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0" ht="13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0" ht="13">
      <c r="A15" s="1"/>
      <c r="B15" s="1"/>
      <c r="C15" s="1"/>
      <c r="D15" s="1"/>
      <c r="E15" s="1"/>
      <c r="F15" s="1"/>
      <c r="G15" s="1"/>
      <c r="H15" s="1"/>
      <c r="I15" s="1"/>
      <c r="J15" s="1"/>
    </row>
    <row r="16" spans="1:10" ht="13">
      <c r="A16" s="1"/>
      <c r="B16" s="1"/>
      <c r="C16" s="1"/>
      <c r="D16" s="1"/>
      <c r="E16" s="1"/>
      <c r="F16" s="1"/>
      <c r="G16" s="1"/>
      <c r="H16" s="1"/>
      <c r="I16" s="1"/>
      <c r="J16" s="1"/>
    </row>
    <row r="17" spans="1:10" ht="13">
      <c r="A17" s="1"/>
      <c r="B17" s="1"/>
      <c r="C17" s="1"/>
      <c r="D17" s="1"/>
      <c r="E17" s="1"/>
      <c r="F17" s="1"/>
      <c r="G17" s="1"/>
      <c r="H17" s="1"/>
      <c r="I17" s="1"/>
      <c r="J17" s="1"/>
    </row>
    <row r="18" spans="1:10" ht="13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 ht="13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 ht="13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t="13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t="13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ht="13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 ht="13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 ht="13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ht="13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 ht="13">
      <c r="A27" s="1"/>
      <c r="B27" s="4" t="s">
        <v>0</v>
      </c>
      <c r="C27" s="4"/>
      <c r="D27" s="392" t="s">
        <v>1136</v>
      </c>
      <c r="E27" s="392"/>
      <c r="F27" s="392"/>
      <c r="G27" s="392"/>
      <c r="H27" s="1"/>
      <c r="I27" s="1"/>
      <c r="J27" s="1"/>
    </row>
    <row r="28" spans="1:10" ht="13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 ht="14">
      <c r="A29" s="1"/>
      <c r="B29" s="1" t="s">
        <v>1</v>
      </c>
      <c r="C29" s="5" t="s">
        <v>742</v>
      </c>
      <c r="D29" s="356" t="s">
        <v>1127</v>
      </c>
      <c r="E29" s="1"/>
      <c r="F29" s="1"/>
      <c r="G29" s="1"/>
      <c r="H29" s="1"/>
      <c r="I29" s="1"/>
      <c r="J29" s="1"/>
    </row>
    <row r="30" spans="1:10" ht="13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 ht="13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 ht="13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 ht="13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 ht="13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 ht="13">
      <c r="A35" s="1"/>
      <c r="B35" s="1"/>
      <c r="C35" s="1"/>
      <c r="D35" s="1"/>
      <c r="E35" s="1"/>
      <c r="F35" s="1"/>
      <c r="G35" s="1"/>
      <c r="H35" s="1"/>
      <c r="I35" s="1"/>
      <c r="J35" s="1"/>
    </row>
  </sheetData>
  <mergeCells count="4">
    <mergeCell ref="B3:I4"/>
    <mergeCell ref="B6:I8"/>
    <mergeCell ref="B10:I11"/>
    <mergeCell ref="D27:G27"/>
  </mergeCells>
  <hyperlinks>
    <hyperlink ref="D29" r:id="rId1" xr:uid="{00000000-0004-0000-0000-00000000000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3292C5"/>
  </sheetPr>
  <dimension ref="A1:J38"/>
  <sheetViews>
    <sheetView showGridLines="0" zoomScale="108" zoomScaleNormal="108" workbookViewId="0">
      <selection activeCell="I11" sqref="I11"/>
    </sheetView>
  </sheetViews>
  <sheetFormatPr baseColWidth="10" defaultColWidth="0" defaultRowHeight="12.75" customHeight="1" zeroHeight="1"/>
  <cols>
    <col min="1" max="10" width="9.1640625" style="2" customWidth="1"/>
    <col min="11" max="16384" width="9.1640625" style="2" hidden="1"/>
  </cols>
  <sheetData>
    <row r="1" spans="1:10" ht="13">
      <c r="A1" s="1"/>
      <c r="B1" s="1"/>
      <c r="C1" s="1"/>
      <c r="D1" s="1"/>
      <c r="E1" s="1"/>
      <c r="F1" s="1"/>
      <c r="G1" s="1"/>
      <c r="H1" s="1"/>
      <c r="I1" s="1"/>
      <c r="J1" s="1"/>
    </row>
    <row r="2" spans="1:10" ht="13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ht="12.75" customHeight="1">
      <c r="A3" s="1"/>
      <c r="B3" s="395" t="s">
        <v>3</v>
      </c>
      <c r="C3" s="395"/>
      <c r="D3" s="6"/>
      <c r="E3" s="6"/>
      <c r="F3" s="6"/>
      <c r="G3" s="6"/>
      <c r="H3" s="6"/>
      <c r="I3" s="6"/>
      <c r="J3" s="1"/>
    </row>
    <row r="4" spans="1:10" ht="12.75" customHeight="1">
      <c r="A4" s="1"/>
      <c r="B4" s="395"/>
      <c r="C4" s="395"/>
      <c r="D4" s="6"/>
      <c r="E4" s="6"/>
      <c r="F4" s="6"/>
      <c r="G4" s="6"/>
      <c r="H4" s="6"/>
      <c r="I4" s="6"/>
      <c r="J4" s="1"/>
    </row>
    <row r="5" spans="1:10" ht="12.75" customHeight="1">
      <c r="A5" s="1"/>
      <c r="B5" s="6"/>
      <c r="C5" s="6"/>
      <c r="D5" s="6"/>
      <c r="E5" s="6"/>
      <c r="F5" s="6"/>
      <c r="G5" s="6"/>
      <c r="H5" s="6"/>
      <c r="I5" s="6"/>
      <c r="J5" s="1"/>
    </row>
    <row r="6" spans="1:10" ht="16">
      <c r="A6" s="1"/>
      <c r="B6" s="7" t="s">
        <v>4</v>
      </c>
      <c r="C6" s="396" t="s">
        <v>1084</v>
      </c>
      <c r="D6" s="396"/>
      <c r="E6" s="396"/>
      <c r="F6" s="396"/>
      <c r="G6" s="396"/>
      <c r="H6" s="396"/>
      <c r="I6" s="396"/>
      <c r="J6" s="1"/>
    </row>
    <row r="7" spans="1:10" ht="12.75" customHeight="1">
      <c r="A7" s="1"/>
      <c r="B7" s="8"/>
      <c r="C7" s="9"/>
      <c r="D7" s="9"/>
      <c r="E7" s="9"/>
      <c r="F7" s="9"/>
      <c r="G7" s="9"/>
      <c r="H7" s="9"/>
      <c r="I7" s="9"/>
      <c r="J7" s="1"/>
    </row>
    <row r="8" spans="1:10" ht="12.75" customHeight="1">
      <c r="A8" s="1"/>
      <c r="B8" s="7" t="s">
        <v>5</v>
      </c>
      <c r="C8" s="396" t="s">
        <v>380</v>
      </c>
      <c r="D8" s="396"/>
      <c r="E8" s="396"/>
      <c r="F8" s="396"/>
      <c r="G8" s="396"/>
      <c r="H8" s="396"/>
      <c r="I8" s="396"/>
      <c r="J8" s="1"/>
    </row>
    <row r="9" spans="1:10" ht="12.75" customHeight="1">
      <c r="A9" s="1"/>
      <c r="B9" s="8"/>
      <c r="C9" s="9"/>
      <c r="D9" s="9"/>
      <c r="E9" s="9"/>
      <c r="F9" s="9"/>
      <c r="G9" s="9"/>
      <c r="H9" s="9"/>
      <c r="I9" s="9"/>
      <c r="J9" s="1"/>
    </row>
    <row r="10" spans="1:10" ht="16">
      <c r="A10" s="1"/>
      <c r="B10" s="7" t="s">
        <v>6</v>
      </c>
      <c r="C10" s="396" t="s">
        <v>381</v>
      </c>
      <c r="D10" s="396"/>
      <c r="E10" s="396"/>
      <c r="F10" s="396"/>
      <c r="G10" s="396"/>
      <c r="H10" s="396"/>
      <c r="I10" s="396"/>
      <c r="J10" s="1"/>
    </row>
    <row r="11" spans="1:10" ht="12.75" customHeight="1">
      <c r="A11" s="1"/>
      <c r="B11" s="8"/>
      <c r="C11" s="9"/>
      <c r="D11" s="9"/>
      <c r="E11" s="9"/>
      <c r="F11" s="9"/>
      <c r="G11" s="9"/>
      <c r="H11" s="9"/>
      <c r="I11" s="9"/>
      <c r="J11" s="1"/>
    </row>
    <row r="12" spans="1:10" ht="16">
      <c r="A12" s="1"/>
      <c r="B12" s="137" t="s">
        <v>382</v>
      </c>
      <c r="C12" s="394" t="s">
        <v>385</v>
      </c>
      <c r="D12" s="394"/>
      <c r="E12" s="394"/>
      <c r="F12" s="394"/>
      <c r="G12" s="394"/>
      <c r="H12" s="394"/>
      <c r="I12" s="394"/>
      <c r="J12" s="1"/>
    </row>
    <row r="13" spans="1:10" ht="16">
      <c r="A13" s="1"/>
      <c r="B13" s="137" t="s">
        <v>383</v>
      </c>
      <c r="C13" s="394" t="s">
        <v>386</v>
      </c>
      <c r="D13" s="394"/>
      <c r="E13" s="394"/>
      <c r="F13" s="394"/>
      <c r="G13" s="394"/>
      <c r="H13" s="394"/>
      <c r="I13" s="394"/>
      <c r="J13" s="1"/>
    </row>
    <row r="14" spans="1:10" ht="16">
      <c r="A14" s="1"/>
      <c r="B14" s="137" t="s">
        <v>384</v>
      </c>
      <c r="C14" s="394" t="s">
        <v>387</v>
      </c>
      <c r="D14" s="394"/>
      <c r="E14" s="394"/>
      <c r="F14" s="394"/>
      <c r="G14" s="394"/>
      <c r="H14" s="394"/>
      <c r="I14" s="394"/>
      <c r="J14" s="1"/>
    </row>
    <row r="15" spans="1:10" ht="16">
      <c r="A15" s="1"/>
      <c r="B15" s="137" t="s">
        <v>388</v>
      </c>
      <c r="C15" s="394" t="s">
        <v>1020</v>
      </c>
      <c r="D15" s="394"/>
      <c r="E15" s="394"/>
      <c r="F15" s="394"/>
      <c r="G15" s="394"/>
      <c r="H15" s="394"/>
      <c r="I15" s="394"/>
      <c r="J15" s="1"/>
    </row>
    <row r="16" spans="1:10" ht="16">
      <c r="A16" s="1"/>
      <c r="B16" s="137" t="s">
        <v>389</v>
      </c>
      <c r="C16" s="394" t="s">
        <v>390</v>
      </c>
      <c r="D16" s="394"/>
      <c r="E16" s="394"/>
      <c r="F16" s="394"/>
      <c r="G16" s="394"/>
      <c r="H16" s="394"/>
      <c r="I16" s="394"/>
      <c r="J16" s="1"/>
    </row>
    <row r="17" spans="1:10" ht="16">
      <c r="A17" s="1"/>
      <c r="B17" s="137" t="s">
        <v>391</v>
      </c>
      <c r="C17" s="394" t="s">
        <v>392</v>
      </c>
      <c r="D17" s="394"/>
      <c r="E17" s="394"/>
      <c r="F17" s="394"/>
      <c r="G17" s="394"/>
      <c r="H17" s="394"/>
      <c r="I17" s="394"/>
      <c r="J17" s="1"/>
    </row>
    <row r="18" spans="1:10" ht="16">
      <c r="A18" s="1"/>
      <c r="B18" s="10"/>
      <c r="C18" s="10"/>
      <c r="D18" s="10"/>
      <c r="E18" s="10"/>
      <c r="F18" s="10"/>
      <c r="G18" s="10"/>
      <c r="H18" s="10"/>
      <c r="I18" s="10"/>
      <c r="J18" s="1"/>
    </row>
    <row r="19" spans="1:10" ht="16">
      <c r="A19" s="1"/>
      <c r="B19" s="137" t="s">
        <v>7</v>
      </c>
      <c r="C19" s="393" t="s">
        <v>393</v>
      </c>
      <c r="D19" s="393"/>
      <c r="E19" s="393"/>
      <c r="F19" s="393"/>
      <c r="G19" s="393"/>
      <c r="H19" s="393"/>
      <c r="I19" s="393"/>
      <c r="J19" s="1"/>
    </row>
    <row r="20" spans="1:10" ht="13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t="13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t="13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ht="13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 ht="13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 ht="13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ht="13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 ht="13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ht="13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 ht="13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 ht="13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 ht="13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 ht="13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 ht="13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 ht="13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 ht="13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 ht="13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 ht="13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 s="11" customFormat="1" ht="13" hidden="1"/>
  </sheetData>
  <mergeCells count="11">
    <mergeCell ref="C19:I19"/>
    <mergeCell ref="C17:I17"/>
    <mergeCell ref="C16:I16"/>
    <mergeCell ref="B3:C4"/>
    <mergeCell ref="C6:I6"/>
    <mergeCell ref="C8:I8"/>
    <mergeCell ref="C10:I10"/>
    <mergeCell ref="C12:I12"/>
    <mergeCell ref="C14:I14"/>
    <mergeCell ref="C13:I13"/>
    <mergeCell ref="C15:I15"/>
  </mergeCells>
  <pageMargins left="0.7" right="0.7" top="0.75" bottom="0.75" header="0.3" footer="0.3"/>
  <pageSetup paperSize="9"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/>
  </sheetPr>
  <dimension ref="A1:R35"/>
  <sheetViews>
    <sheetView showGridLines="0" zoomScale="88" zoomScaleNormal="88" workbookViewId="0">
      <selection activeCell="A2" sqref="A2"/>
    </sheetView>
  </sheetViews>
  <sheetFormatPr baseColWidth="10" defaultColWidth="0" defaultRowHeight="15" zeroHeight="1"/>
  <cols>
    <col min="1" max="1" width="0.5" style="342" customWidth="1"/>
    <col min="2" max="2" width="29.5" style="342" customWidth="1"/>
    <col min="3" max="4" width="9.1640625" style="342" customWidth="1"/>
    <col min="5" max="5" width="9.83203125" style="342" customWidth="1"/>
    <col min="6" max="7" width="9.1640625" style="342" customWidth="1"/>
    <col min="8" max="8" width="22.83203125" style="342" customWidth="1"/>
    <col min="9" max="9" width="9.1640625" style="342" customWidth="1"/>
    <col min="10" max="10" width="25.83203125" style="342" customWidth="1"/>
    <col min="11" max="16" width="9.1640625" style="342" customWidth="1"/>
    <col min="17" max="17" width="11.6640625" style="342" customWidth="1"/>
    <col min="18" max="18" width="2.1640625" style="343" customWidth="1"/>
    <col min="19" max="16384" width="9.1640625" hidden="1"/>
  </cols>
  <sheetData>
    <row r="1" spans="1:18" ht="1.5" customHeight="1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 s="294"/>
    </row>
    <row r="2" spans="1:18" ht="16">
      <c r="B2" s="259" t="s">
        <v>976</v>
      </c>
      <c r="C2" s="260"/>
      <c r="D2" s="261"/>
      <c r="E2" s="261"/>
      <c r="F2" s="261"/>
      <c r="G2" s="261"/>
      <c r="H2" s="261"/>
      <c r="I2" s="261"/>
      <c r="J2" s="259" t="s">
        <v>977</v>
      </c>
      <c r="K2" s="261"/>
      <c r="L2" s="261"/>
      <c r="M2" s="261"/>
      <c r="N2" s="261"/>
      <c r="O2" s="261"/>
      <c r="P2" s="261"/>
      <c r="Q2" s="261"/>
    </row>
    <row r="3" spans="1:18" ht="17" thickBot="1">
      <c r="D3" s="344"/>
      <c r="E3" s="345"/>
      <c r="F3" s="344"/>
      <c r="G3" s="344"/>
      <c r="H3" s="344"/>
      <c r="I3" s="344"/>
      <c r="L3" s="344"/>
      <c r="M3" s="345"/>
      <c r="N3" s="344"/>
      <c r="O3" s="344"/>
      <c r="P3" s="344"/>
      <c r="Q3" s="344"/>
    </row>
    <row r="4" spans="1:18" ht="30.75" customHeight="1" thickBot="1">
      <c r="B4" s="346" t="s">
        <v>986</v>
      </c>
      <c r="C4" s="266">
        <f t="array" aca="1" ref="C4" ca="1">SUM(F6:F13)/SUM(G6:G13)</f>
        <v>0.97058823529411764</v>
      </c>
      <c r="J4" s="346" t="s">
        <v>986</v>
      </c>
      <c r="K4" s="266">
        <f t="array" ref="K4">SUM(N6:N13)/SUM(O6:O13)</f>
        <v>1</v>
      </c>
    </row>
    <row r="5" spans="1:18" ht="19">
      <c r="B5" s="264" t="s">
        <v>978</v>
      </c>
      <c r="C5" s="347">
        <f>C29+C26+C23+C20+C17+C14+C11+C8</f>
        <v>63</v>
      </c>
      <c r="J5" s="264" t="s">
        <v>978</v>
      </c>
      <c r="K5" s="347">
        <f>K29+K26+K23+K20+K17+K14+K11+K8</f>
        <v>33</v>
      </c>
    </row>
    <row r="6" spans="1:18" ht="17" thickBot="1">
      <c r="C6" s="348"/>
      <c r="E6" s="342" t="s">
        <v>1069</v>
      </c>
      <c r="F6" s="342">
        <f t="array" ref="F6">SUM(COUNTIF('1.1.Операторы'!M3:M4,"ДА")+COUNTIF('1.2.Ссылки'!L3:L5,"ДА"))</f>
        <v>5</v>
      </c>
      <c r="G6" s="342">
        <v>5</v>
      </c>
      <c r="H6" s="349">
        <f>F6/G6</f>
        <v>1</v>
      </c>
      <c r="I6" s="350">
        <v>1</v>
      </c>
      <c r="K6" s="348"/>
      <c r="M6" s="342" t="s">
        <v>1070</v>
      </c>
      <c r="N6" s="342">
        <f>SUM(COUNTIF(ДЗ_1!K18:K21,"ДА"))</f>
        <v>4</v>
      </c>
      <c r="O6" s="342">
        <v>4</v>
      </c>
      <c r="P6" s="349">
        <f>N6/O6</f>
        <v>1</v>
      </c>
      <c r="Q6" s="350">
        <v>1</v>
      </c>
    </row>
    <row r="7" spans="1:18" ht="17" thickBot="1">
      <c r="B7" s="263" t="s">
        <v>1069</v>
      </c>
      <c r="C7" s="266">
        <f>F6/C8</f>
        <v>1</v>
      </c>
      <c r="E7" s="342" t="s">
        <v>979</v>
      </c>
      <c r="F7" s="342">
        <f t="array" ref="F7">SUM(COUNTIF(Имен_ячейки!O12,"ДА")+COUNTIF(Имен_диапазоны!P3,"ДА")+COUNTIF(ИменаVsСмешСсыл!Q3,"ДА"))</f>
        <v>3</v>
      </c>
      <c r="G7" s="342">
        <v>3</v>
      </c>
      <c r="H7" s="349">
        <f t="shared" ref="H7:H13" si="0">F7/G7</f>
        <v>1</v>
      </c>
      <c r="I7" s="350">
        <v>1</v>
      </c>
      <c r="J7" s="263" t="s">
        <v>1070</v>
      </c>
      <c r="K7" s="266">
        <f>N6/K8</f>
        <v>1</v>
      </c>
      <c r="M7" s="342" t="s">
        <v>1038</v>
      </c>
      <c r="N7" s="342">
        <f>SUM(COUNTIF(ДЗ_2!N20,"ДА"))</f>
        <v>1</v>
      </c>
      <c r="O7" s="342">
        <v>1</v>
      </c>
      <c r="P7" s="349">
        <f t="shared" ref="P7:P13" si="1">N7/O7</f>
        <v>1</v>
      </c>
      <c r="Q7" s="350">
        <v>1</v>
      </c>
    </row>
    <row r="8" spans="1:18" ht="16">
      <c r="B8" s="264" t="s">
        <v>978</v>
      </c>
      <c r="C8" s="269">
        <v>5</v>
      </c>
      <c r="E8" s="342" t="s">
        <v>980</v>
      </c>
      <c r="F8" s="342">
        <f t="array" ref="F8">SUM(COUNTIF('3.1.Округ'!J18,"ДА")+COUNTIF('3.2.1.Счет_усл'!S3,"ДА")+COUNTIF('3.2.2.Сумм_усл'!K21,"ДА"))</f>
        <v>3</v>
      </c>
      <c r="G8" s="342">
        <v>3</v>
      </c>
      <c r="H8" s="349">
        <f t="shared" si="0"/>
        <v>1</v>
      </c>
      <c r="I8" s="350">
        <v>1</v>
      </c>
      <c r="J8" s="264" t="s">
        <v>978</v>
      </c>
      <c r="K8" s="269">
        <v>4</v>
      </c>
      <c r="M8" s="342" t="s">
        <v>1039</v>
      </c>
      <c r="N8" s="342">
        <f>SUM(COUNTIF(ДЗ_3!O24,"ДА"))</f>
        <v>1</v>
      </c>
      <c r="O8" s="342">
        <v>1</v>
      </c>
      <c r="P8" s="349">
        <f t="shared" si="1"/>
        <v>1</v>
      </c>
      <c r="Q8" s="350">
        <v>1</v>
      </c>
    </row>
    <row r="9" spans="1:18" ht="17" thickBot="1">
      <c r="B9" s="265"/>
      <c r="C9" s="270"/>
      <c r="E9" s="342" t="s">
        <v>981</v>
      </c>
      <c r="F9" s="342">
        <f t="array" ref="F9">SUM(COUNTIF(ВПР_Нач!E18,"ДА")+COUNTIF(ВПР1!K20,"ДА")+COUNTIF(ВПР2!L8,"ДА")+COUNTIF(ВПР3_Пазлы2017!M5,"ДА"))</f>
        <v>4</v>
      </c>
      <c r="G9" s="342">
        <v>4</v>
      </c>
      <c r="H9" s="349">
        <f t="shared" si="0"/>
        <v>1</v>
      </c>
      <c r="I9" s="350">
        <v>1</v>
      </c>
      <c r="J9" s="265"/>
      <c r="K9" s="270"/>
      <c r="M9" s="342" t="s">
        <v>1037</v>
      </c>
      <c r="N9" s="342">
        <f>SUM(COUNTIF(ДЗ_4!M3:M4,"ДА"))</f>
        <v>2</v>
      </c>
      <c r="O9" s="342">
        <v>2</v>
      </c>
      <c r="P9" s="349">
        <f t="shared" si="1"/>
        <v>1</v>
      </c>
      <c r="Q9" s="350">
        <v>1</v>
      </c>
    </row>
    <row r="10" spans="1:18" ht="17" thickBot="1">
      <c r="B10" s="263" t="s">
        <v>990</v>
      </c>
      <c r="C10" s="266">
        <f>F7/D10</f>
        <v>1</v>
      </c>
      <c r="D10" s="342">
        <v>3</v>
      </c>
      <c r="E10" s="342" t="s">
        <v>982</v>
      </c>
      <c r="F10" s="342">
        <f t="array" ref="F10">SUM(COUNTIF('3.4.Логические'!Z5:Z7,"ДА"))</f>
        <v>3</v>
      </c>
      <c r="G10" s="342">
        <v>3</v>
      </c>
      <c r="H10" s="349">
        <f t="shared" si="0"/>
        <v>1</v>
      </c>
      <c r="I10" s="350">
        <v>1</v>
      </c>
      <c r="J10" s="263" t="s">
        <v>1038</v>
      </c>
      <c r="K10" s="266">
        <f>N7/L10</f>
        <v>1</v>
      </c>
      <c r="L10" s="342">
        <v>1</v>
      </c>
      <c r="M10" s="342" t="s">
        <v>1035</v>
      </c>
      <c r="N10" s="342">
        <f>SUM(COUNTIF(ДЗ_5!O3:O6,"ДА"))</f>
        <v>4</v>
      </c>
      <c r="O10" s="342">
        <v>4</v>
      </c>
      <c r="P10" s="349">
        <f t="shared" si="1"/>
        <v>1</v>
      </c>
      <c r="Q10" s="350">
        <v>1</v>
      </c>
    </row>
    <row r="11" spans="1:18" ht="16">
      <c r="B11" s="264" t="s">
        <v>978</v>
      </c>
      <c r="C11" s="269">
        <v>7</v>
      </c>
      <c r="E11" s="342" t="s">
        <v>983</v>
      </c>
      <c r="F11" s="342">
        <f t="array" ref="F11">SUM(COUNTIF(СЦЕП!H3,"ДА")+COUNTIF(СжПРОБ!J3,"ДА")+COUNTIF(РЕГИСТР!D28,"ДА")+COUNTIF(Л_П_СИМВ_ПСТР!K3,"ДА")+COUNTIF(ТекстПоСтолбцам!M3:M4,"ДА")+COUNTIF(МЗ!J19,"ДА"))</f>
        <v>7</v>
      </c>
      <c r="G11" s="342">
        <v>7</v>
      </c>
      <c r="H11" s="349">
        <f t="shared" si="0"/>
        <v>1</v>
      </c>
      <c r="I11" s="350">
        <v>1</v>
      </c>
      <c r="J11" s="264" t="s">
        <v>978</v>
      </c>
      <c r="K11" s="269">
        <v>5</v>
      </c>
      <c r="M11" s="342" t="s">
        <v>1034</v>
      </c>
      <c r="N11" s="342">
        <f>SUM(COUNTIF(ДЗ_6!J21:J22,"ДА"))</f>
        <v>2</v>
      </c>
      <c r="O11" s="342">
        <v>2</v>
      </c>
      <c r="P11" s="349">
        <f t="shared" si="1"/>
        <v>1</v>
      </c>
      <c r="Q11" s="350">
        <v>1</v>
      </c>
    </row>
    <row r="12" spans="1:18" ht="17" thickBot="1">
      <c r="B12" s="265"/>
      <c r="C12" s="270"/>
      <c r="E12" s="342" t="s">
        <v>984</v>
      </c>
      <c r="F12" s="342">
        <f t="array" aca="1" ref="F12" ca="1">SUM(COUNTIF(СЕГОДНЯ!H3:H5,"ДА")+COUNTIF(РАБДЕНЬ!C15:C16,"ДА")+COUNTIF(ЧИСТРАБДНИ!D18:D19,"ДА")+COUNTIF(ДОЛЯГОДА!I4,"ДА"))</f>
        <v>8</v>
      </c>
      <c r="G12" s="342">
        <v>8</v>
      </c>
      <c r="H12" s="349">
        <f t="shared" ca="1" si="0"/>
        <v>1</v>
      </c>
      <c r="I12" s="350">
        <v>1</v>
      </c>
      <c r="J12" s="265"/>
      <c r="K12" s="270"/>
      <c r="M12" s="342" t="s">
        <v>1033</v>
      </c>
      <c r="N12" s="342">
        <f>SUM(COUNTIF(ДЗ_7!J12:J13,"ДА"))</f>
        <v>2</v>
      </c>
      <c r="O12" s="342">
        <v>2</v>
      </c>
      <c r="P12" s="349">
        <f t="shared" si="1"/>
        <v>1</v>
      </c>
      <c r="Q12" s="350">
        <v>1</v>
      </c>
    </row>
    <row r="13" spans="1:18" ht="17" thickBot="1">
      <c r="B13" s="263" t="s">
        <v>980</v>
      </c>
      <c r="C13" s="266">
        <f>F8/D13</f>
        <v>1</v>
      </c>
      <c r="D13" s="342">
        <v>3</v>
      </c>
      <c r="E13" s="342" t="s">
        <v>985</v>
      </c>
      <c r="F13" s="342">
        <f>SUM(COUNTIF('4.Ошибки'!C32,"ДА"))</f>
        <v>0</v>
      </c>
      <c r="G13" s="342">
        <v>1</v>
      </c>
      <c r="H13" s="349">
        <f t="shared" si="0"/>
        <v>0</v>
      </c>
      <c r="I13" s="350">
        <v>1</v>
      </c>
      <c r="J13" s="263" t="s">
        <v>1039</v>
      </c>
      <c r="K13" s="266">
        <f>N8/L13</f>
        <v>1</v>
      </c>
      <c r="L13" s="342">
        <v>1</v>
      </c>
      <c r="M13" s="342" t="s">
        <v>1036</v>
      </c>
      <c r="N13" s="342">
        <f>SUM(COUNTIF(ДЗ_8!N4,"ДА"))</f>
        <v>1</v>
      </c>
      <c r="O13" s="342">
        <v>1</v>
      </c>
      <c r="P13" s="349">
        <f t="shared" si="1"/>
        <v>1</v>
      </c>
      <c r="Q13" s="350">
        <v>1</v>
      </c>
    </row>
    <row r="14" spans="1:18" ht="16">
      <c r="B14" s="264" t="s">
        <v>978</v>
      </c>
      <c r="C14" s="269">
        <v>16</v>
      </c>
      <c r="H14" s="262"/>
      <c r="J14" s="264" t="s">
        <v>978</v>
      </c>
      <c r="K14" s="269">
        <v>6</v>
      </c>
      <c r="P14" s="262"/>
    </row>
    <row r="15" spans="1:18" ht="17" thickBot="1">
      <c r="B15" s="265"/>
      <c r="C15" s="270"/>
      <c r="H15" s="262"/>
      <c r="J15" s="265"/>
      <c r="K15" s="270"/>
      <c r="M15" s="349" t="str">
        <f>IF(AND(K4&gt;=50%,K4&lt;75%),K4,"")</f>
        <v/>
      </c>
      <c r="P15" s="262"/>
    </row>
    <row r="16" spans="1:18" ht="17" thickBot="1">
      <c r="B16" s="263" t="s">
        <v>981</v>
      </c>
      <c r="C16" s="266">
        <f>F9/D16</f>
        <v>1</v>
      </c>
      <c r="D16" s="342">
        <v>4</v>
      </c>
      <c r="H16" s="262"/>
      <c r="J16" s="263" t="s">
        <v>1037</v>
      </c>
      <c r="K16" s="266">
        <f>N9/K17</f>
        <v>1</v>
      </c>
      <c r="P16" s="262"/>
    </row>
    <row r="17" spans="2:16" ht="16">
      <c r="B17" s="264" t="s">
        <v>978</v>
      </c>
      <c r="C17" s="269">
        <v>6</v>
      </c>
      <c r="H17" s="262"/>
      <c r="J17" s="264" t="s">
        <v>978</v>
      </c>
      <c r="K17" s="269">
        <v>2</v>
      </c>
      <c r="P17" s="262"/>
    </row>
    <row r="18" spans="2:16" ht="17" thickBot="1">
      <c r="B18" s="265"/>
      <c r="C18" s="270"/>
      <c r="H18" s="262"/>
      <c r="J18" s="265"/>
      <c r="K18" s="270"/>
      <c r="P18" s="262"/>
    </row>
    <row r="19" spans="2:16" ht="17" thickBot="1">
      <c r="B19" s="263" t="s">
        <v>982</v>
      </c>
      <c r="C19" s="266">
        <f>F10/C20</f>
        <v>1</v>
      </c>
      <c r="H19" s="262"/>
      <c r="J19" s="263" t="s">
        <v>1035</v>
      </c>
      <c r="K19" s="266">
        <f>N10/K20</f>
        <v>1</v>
      </c>
      <c r="P19" s="262"/>
    </row>
    <row r="20" spans="2:16" ht="16">
      <c r="B20" s="264" t="s">
        <v>978</v>
      </c>
      <c r="C20" s="269">
        <v>3</v>
      </c>
      <c r="H20" s="262"/>
      <c r="J20" s="264" t="s">
        <v>978</v>
      </c>
      <c r="K20" s="269">
        <v>4</v>
      </c>
      <c r="P20" s="262"/>
    </row>
    <row r="21" spans="2:16" ht="17" thickBot="1">
      <c r="B21" s="265"/>
      <c r="C21" s="270"/>
      <c r="H21" s="262"/>
      <c r="J21" s="265"/>
      <c r="K21" s="270"/>
      <c r="P21" s="262"/>
    </row>
    <row r="22" spans="2:16" ht="17" thickBot="1">
      <c r="B22" s="263" t="s">
        <v>983</v>
      </c>
      <c r="C22" s="266">
        <f>F11/D22</f>
        <v>1</v>
      </c>
      <c r="D22" s="342">
        <v>7</v>
      </c>
      <c r="H22" s="262"/>
      <c r="J22" s="263" t="s">
        <v>1034</v>
      </c>
      <c r="K22" s="266">
        <f>N11/L22</f>
        <v>1</v>
      </c>
      <c r="L22" s="342">
        <v>2</v>
      </c>
      <c r="P22" s="262"/>
    </row>
    <row r="23" spans="2:16" ht="16">
      <c r="B23" s="264" t="s">
        <v>978</v>
      </c>
      <c r="C23" s="269">
        <v>12</v>
      </c>
      <c r="H23" s="262"/>
      <c r="J23" s="264" t="s">
        <v>978</v>
      </c>
      <c r="K23" s="269">
        <v>5</v>
      </c>
      <c r="P23" s="262"/>
    </row>
    <row r="24" spans="2:16" ht="17" thickBot="1">
      <c r="C24" s="348"/>
      <c r="H24" s="262"/>
      <c r="K24" s="348"/>
      <c r="P24" s="262"/>
    </row>
    <row r="25" spans="2:16" ht="17" thickBot="1">
      <c r="B25" s="263" t="s">
        <v>984</v>
      </c>
      <c r="C25" s="266">
        <f ca="1">F12/C26</f>
        <v>1</v>
      </c>
      <c r="H25" s="262"/>
      <c r="J25" s="263" t="s">
        <v>1033</v>
      </c>
      <c r="K25" s="266">
        <f>N12/K26</f>
        <v>1</v>
      </c>
      <c r="P25" s="262"/>
    </row>
    <row r="26" spans="2:16" ht="16">
      <c r="B26" s="264" t="s">
        <v>978</v>
      </c>
      <c r="C26" s="269">
        <v>8</v>
      </c>
      <c r="H26" s="262"/>
      <c r="J26" s="264" t="s">
        <v>978</v>
      </c>
      <c r="K26" s="269">
        <v>2</v>
      </c>
      <c r="P26" s="262"/>
    </row>
    <row r="27" spans="2:16" ht="17" thickBot="1">
      <c r="C27" s="348"/>
      <c r="H27" s="262"/>
      <c r="K27" s="348"/>
      <c r="P27" s="262"/>
    </row>
    <row r="28" spans="2:16" ht="17" thickBot="1">
      <c r="B28" s="263" t="s">
        <v>991</v>
      </c>
      <c r="C28" s="266">
        <f>F13/D28</f>
        <v>0</v>
      </c>
      <c r="D28" s="342">
        <v>1</v>
      </c>
      <c r="H28" s="262"/>
      <c r="J28" s="263" t="s">
        <v>1036</v>
      </c>
      <c r="K28" s="266">
        <f>N13/L28</f>
        <v>1</v>
      </c>
      <c r="L28" s="342">
        <v>1</v>
      </c>
      <c r="P28" s="262"/>
    </row>
    <row r="29" spans="2:16" ht="16">
      <c r="B29" s="264" t="s">
        <v>978</v>
      </c>
      <c r="C29" s="269">
        <v>6</v>
      </c>
      <c r="H29" s="262"/>
      <c r="J29" s="264" t="s">
        <v>978</v>
      </c>
      <c r="K29" s="269">
        <v>5</v>
      </c>
      <c r="P29" s="262"/>
    </row>
    <row r="30" spans="2:16">
      <c r="D30" s="342" t="s">
        <v>987</v>
      </c>
      <c r="E30" s="342" t="s">
        <v>988</v>
      </c>
      <c r="F30" s="342" t="s">
        <v>989</v>
      </c>
      <c r="L30" s="342" t="s">
        <v>987</v>
      </c>
      <c r="M30" s="342" t="s">
        <v>988</v>
      </c>
      <c r="N30" s="342" t="s">
        <v>989</v>
      </c>
    </row>
    <row r="31" spans="2:16" ht="33" customHeight="1">
      <c r="D31" s="349" t="str">
        <f ca="1">IF(C4&lt;50%,C4,"")</f>
        <v/>
      </c>
      <c r="E31" s="349" t="str">
        <f ca="1">IF(AND(C4&gt;=50%,C4&lt;75%),C4,"")</f>
        <v/>
      </c>
      <c r="F31" s="349">
        <f ca="1">IF(C4&gt;=75%,C4,"")</f>
        <v>0.97058823529411764</v>
      </c>
      <c r="G31" s="350">
        <v>1</v>
      </c>
      <c r="K31" s="342" t="s">
        <v>986</v>
      </c>
      <c r="L31" s="349" t="str">
        <f>IF(K4&lt;50%,K4,"")</f>
        <v/>
      </c>
      <c r="M31" s="349" t="str">
        <f>IF(AND(K4&gt;=50%,K4&lt;75%),K4,"")</f>
        <v/>
      </c>
      <c r="N31" s="349">
        <f>IF(K4&gt;=75%,K4,"")</f>
        <v>1</v>
      </c>
      <c r="O31" s="350">
        <v>1</v>
      </c>
    </row>
    <row r="32" spans="2:16"/>
    <row r="33"/>
    <row r="34" hidden="1"/>
    <row r="35" hidden="1"/>
  </sheetData>
  <sheetProtection algorithmName="SHA-512" hashValue="9oa9DNeUxAheh3bkgKfgaN0trFitRPS6GEXB1dYlUF/fJvSH9jFme9vQj2YaeGhM6IawDp9W57ECHUj8/FGMFA==" saltValue="CJjs9hw9GlffEiw+St8/jQ==" spinCount="100000" sheet="1" objects="1" scenarios="1" selectLockedCells="1"/>
  <pageMargins left="0.7" right="0.7" top="0.75" bottom="0.75" header="0.3" footer="0.3"/>
  <pageSetup paperSize="9" orientation="portrait" horizontalDpi="360" verticalDpi="36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0"/>
  </sheetPr>
  <dimension ref="A1:M31"/>
  <sheetViews>
    <sheetView showGridLines="0" zoomScale="115" zoomScaleNormal="115" workbookViewId="0">
      <selection activeCell="C6" sqref="C6"/>
    </sheetView>
  </sheetViews>
  <sheetFormatPr baseColWidth="10" defaultColWidth="0" defaultRowHeight="15" zeroHeight="1"/>
  <cols>
    <col min="1" max="1" width="2.83203125" customWidth="1"/>
    <col min="2" max="2" width="69" bestFit="1" customWidth="1"/>
    <col min="3" max="3" width="7.5" customWidth="1"/>
    <col min="4" max="4" width="5" bestFit="1" customWidth="1"/>
    <col min="5" max="5" width="6" customWidth="1"/>
    <col min="6" max="6" width="9.83203125" customWidth="1"/>
    <col min="7" max="8" width="10.5" bestFit="1" customWidth="1"/>
    <col min="9" max="9" width="9.1640625" customWidth="1"/>
    <col min="10" max="10" width="10.33203125" bestFit="1" customWidth="1"/>
    <col min="11" max="11" width="9.1640625" customWidth="1"/>
    <col min="12" max="13" width="0" hidden="1" customWidth="1"/>
    <col min="14" max="16384" width="9.1640625" hidden="1"/>
  </cols>
  <sheetData>
    <row r="1" spans="1:13" ht="5.25" customHeight="1">
      <c r="A1" s="262"/>
      <c r="B1" s="262"/>
      <c r="C1" s="262"/>
      <c r="D1" s="262"/>
      <c r="E1" s="262"/>
      <c r="F1" s="262"/>
      <c r="G1" s="262"/>
      <c r="H1" s="262"/>
      <c r="I1" s="262"/>
    </row>
    <row r="2" spans="1:13" ht="16">
      <c r="A2" s="262"/>
      <c r="B2" s="259" t="s">
        <v>1064</v>
      </c>
      <c r="C2" s="260"/>
      <c r="D2" s="261"/>
      <c r="E2" s="261"/>
      <c r="F2" s="261"/>
      <c r="G2" s="261"/>
      <c r="H2" s="261"/>
      <c r="I2" s="261"/>
      <c r="J2" s="261"/>
      <c r="K2" s="261"/>
    </row>
    <row r="3" spans="1:13" ht="17">
      <c r="A3" s="262"/>
      <c r="B3" s="297"/>
      <c r="C3" s="297"/>
      <c r="D3" s="262"/>
      <c r="E3" s="262"/>
      <c r="F3" s="304" t="s">
        <v>1041</v>
      </c>
      <c r="G3" t="s">
        <v>1058</v>
      </c>
      <c r="H3" t="s">
        <v>1059</v>
      </c>
      <c r="I3" t="s">
        <v>1060</v>
      </c>
      <c r="J3" s="304"/>
    </row>
    <row r="4" spans="1:13" ht="17">
      <c r="A4" s="262"/>
      <c r="B4" s="306" t="s">
        <v>1040</v>
      </c>
      <c r="C4" s="298">
        <f>SUM(C6:C9)/20/2.5</f>
        <v>0.36</v>
      </c>
      <c r="D4" s="295"/>
      <c r="E4" s="295">
        <v>1</v>
      </c>
      <c r="F4" s="305">
        <f>SUM(C6:C9)/10</f>
        <v>1.8</v>
      </c>
      <c r="G4" s="267">
        <f>IF(F4&gt;=1.8,F4,"")</f>
        <v>1.8</v>
      </c>
      <c r="H4" s="267" t="str">
        <f>IF(AND(F4&lt;1.8,F4&gt;=1.3),F4,"")</f>
        <v/>
      </c>
      <c r="I4" s="267" t="str">
        <f>IF(F4&lt;1.3,F4,"")</f>
        <v/>
      </c>
      <c r="J4" s="304"/>
    </row>
    <row r="5" spans="1:13" ht="17">
      <c r="A5" s="262"/>
      <c r="B5" s="297"/>
      <c r="C5" s="297"/>
      <c r="D5" s="295"/>
      <c r="E5" s="295">
        <v>2</v>
      </c>
      <c r="F5" s="304"/>
      <c r="G5" s="304"/>
      <c r="H5" s="304"/>
      <c r="I5" s="304"/>
      <c r="K5" t="s">
        <v>1058</v>
      </c>
      <c r="L5" t="s">
        <v>1059</v>
      </c>
      <c r="M5" t="s">
        <v>1060</v>
      </c>
    </row>
    <row r="6" spans="1:13" ht="17">
      <c r="A6" s="262"/>
      <c r="B6" s="299" t="s">
        <v>1042</v>
      </c>
      <c r="C6" s="300">
        <v>4</v>
      </c>
      <c r="D6" s="296">
        <v>2</v>
      </c>
      <c r="E6" s="295">
        <v>3</v>
      </c>
      <c r="G6" s="304"/>
      <c r="H6" s="304"/>
      <c r="I6" s="304"/>
      <c r="J6" s="267">
        <f>F4+F11+F19</f>
        <v>4.473333666666667</v>
      </c>
      <c r="K6" s="267">
        <f>IF(J6&gt;=4,J6,"")</f>
        <v>4.473333666666667</v>
      </c>
      <c r="L6" s="267" t="str">
        <f>IF(AND(J6&lt;4,J6&gt;=3),J6,"")</f>
        <v/>
      </c>
      <c r="M6" s="267" t="str">
        <f>IF(J6&lt;3,J6,"")</f>
        <v/>
      </c>
    </row>
    <row r="7" spans="1:13" ht="17">
      <c r="A7" s="262"/>
      <c r="B7" s="301" t="s">
        <v>1043</v>
      </c>
      <c r="C7" s="302">
        <v>5</v>
      </c>
      <c r="D7" s="296">
        <v>1.2000000000000002</v>
      </c>
      <c r="E7" s="295">
        <v>4</v>
      </c>
      <c r="F7" s="304"/>
      <c r="G7" s="304"/>
      <c r="H7" s="304"/>
      <c r="I7" s="304"/>
      <c r="J7" s="304"/>
    </row>
    <row r="8" spans="1:13" ht="17">
      <c r="A8" s="262"/>
      <c r="B8" s="301" t="s">
        <v>1044</v>
      </c>
      <c r="C8" s="302">
        <v>5</v>
      </c>
      <c r="D8" s="296">
        <v>1.6</v>
      </c>
      <c r="E8" s="295">
        <v>5</v>
      </c>
      <c r="F8" s="304"/>
      <c r="G8" s="304"/>
      <c r="H8" s="304"/>
      <c r="I8" s="304"/>
      <c r="J8" s="304"/>
    </row>
    <row r="9" spans="1:13" ht="17">
      <c r="A9" s="262"/>
      <c r="B9" s="301" t="s">
        <v>1045</v>
      </c>
      <c r="C9" s="302">
        <v>4</v>
      </c>
      <c r="D9" s="296">
        <v>2</v>
      </c>
      <c r="E9" s="295"/>
      <c r="F9" s="304"/>
      <c r="G9" s="304"/>
      <c r="H9" s="304"/>
      <c r="I9" s="304"/>
      <c r="J9" s="304"/>
    </row>
    <row r="10" spans="1:13" ht="17">
      <c r="A10" s="262"/>
      <c r="B10" s="297"/>
      <c r="C10" s="303"/>
      <c r="D10" s="296">
        <v>1.7000000000000002</v>
      </c>
      <c r="E10" s="295"/>
      <c r="F10" s="304"/>
      <c r="G10" t="s">
        <v>1058</v>
      </c>
      <c r="H10" t="s">
        <v>1059</v>
      </c>
      <c r="I10" t="s">
        <v>1060</v>
      </c>
      <c r="J10" s="304"/>
    </row>
    <row r="11" spans="1:13" ht="17">
      <c r="A11" s="262"/>
      <c r="B11" s="307" t="s">
        <v>1046</v>
      </c>
      <c r="C11" s="298">
        <f>SUM(C13:C17)/25/2.5</f>
        <v>0.36799999999999999</v>
      </c>
      <c r="D11" s="295"/>
      <c r="E11" s="295"/>
      <c r="F11" s="305">
        <f>SUM(C13:C17)/12-0.083333</f>
        <v>1.8333336666666666</v>
      </c>
      <c r="G11" s="267">
        <f>IF(F11&gt;=1.8,F11,"")</f>
        <v>1.8333336666666666</v>
      </c>
      <c r="H11" s="267" t="str">
        <f>IF(AND(F11&lt;1.8,F11&gt;=1.3),F11,"")</f>
        <v/>
      </c>
      <c r="I11" s="267" t="str">
        <f>IF(F11&lt;1.3,F11,"")</f>
        <v/>
      </c>
      <c r="J11" s="304"/>
    </row>
    <row r="12" spans="1:13" ht="17">
      <c r="A12" s="262"/>
      <c r="B12" s="297"/>
      <c r="C12" s="303"/>
      <c r="D12" s="295"/>
      <c r="E12" s="295"/>
      <c r="F12" s="304"/>
      <c r="G12" s="304"/>
      <c r="H12" s="304"/>
      <c r="I12" s="304"/>
      <c r="J12" s="304"/>
    </row>
    <row r="13" spans="1:13" ht="17">
      <c r="A13" s="262"/>
      <c r="B13" s="299" t="s">
        <v>1047</v>
      </c>
      <c r="C13" s="300">
        <v>5</v>
      </c>
      <c r="D13" s="296">
        <v>2</v>
      </c>
      <c r="E13" s="295"/>
      <c r="F13" s="304"/>
      <c r="G13" s="304"/>
      <c r="H13" s="304"/>
      <c r="I13" s="304"/>
      <c r="J13" s="304"/>
    </row>
    <row r="14" spans="1:13" ht="17">
      <c r="A14" s="262"/>
      <c r="B14" s="301" t="s">
        <v>1048</v>
      </c>
      <c r="C14" s="302">
        <v>4</v>
      </c>
      <c r="D14" s="296">
        <v>1.6</v>
      </c>
      <c r="E14" s="295"/>
      <c r="F14" s="304"/>
      <c r="G14" s="304"/>
      <c r="H14" s="304"/>
      <c r="I14" s="304"/>
      <c r="J14" s="304"/>
    </row>
    <row r="15" spans="1:13" ht="17">
      <c r="A15" s="262"/>
      <c r="B15" s="301" t="s">
        <v>1049</v>
      </c>
      <c r="C15" s="302">
        <v>5</v>
      </c>
      <c r="D15" s="296">
        <v>1.6</v>
      </c>
      <c r="E15" s="295"/>
      <c r="F15" s="304"/>
      <c r="G15" s="304"/>
      <c r="H15" s="304"/>
      <c r="I15" s="304"/>
      <c r="J15" s="304"/>
    </row>
    <row r="16" spans="1:13" ht="17">
      <c r="A16" s="262"/>
      <c r="B16" s="301" t="s">
        <v>1050</v>
      </c>
      <c r="C16" s="302">
        <v>4</v>
      </c>
      <c r="D16" s="296">
        <v>1.6</v>
      </c>
      <c r="E16" s="295"/>
      <c r="F16" s="304"/>
      <c r="G16" s="304"/>
      <c r="H16" s="304"/>
      <c r="I16" s="304"/>
      <c r="J16" s="304"/>
    </row>
    <row r="17" spans="1:10" ht="17">
      <c r="A17" s="262"/>
      <c r="B17" s="301" t="s">
        <v>1051</v>
      </c>
      <c r="C17" s="302">
        <v>5</v>
      </c>
      <c r="D17" s="296">
        <v>2</v>
      </c>
      <c r="E17" s="295"/>
      <c r="F17" s="304"/>
      <c r="G17" s="304"/>
      <c r="H17" s="304"/>
      <c r="I17" s="304"/>
      <c r="J17" s="304"/>
    </row>
    <row r="18" spans="1:10" ht="17">
      <c r="A18" s="262"/>
      <c r="B18" s="297"/>
      <c r="C18" s="303"/>
      <c r="D18" s="296">
        <v>1.7600000000000002</v>
      </c>
      <c r="E18" s="295"/>
      <c r="F18" s="304"/>
      <c r="G18" t="s">
        <v>1058</v>
      </c>
      <c r="H18" t="s">
        <v>1059</v>
      </c>
      <c r="I18" t="s">
        <v>1060</v>
      </c>
      <c r="J18" s="304"/>
    </row>
    <row r="19" spans="1:10" ht="17">
      <c r="A19" s="262"/>
      <c r="B19" s="308" t="s">
        <v>1052</v>
      </c>
      <c r="C19" s="298">
        <f>SUM(C21:C25)/25/5</f>
        <v>0.16799999999999998</v>
      </c>
      <c r="D19" s="295"/>
      <c r="E19" s="295"/>
      <c r="F19" s="305">
        <f>SUM(C21:C25)/25</f>
        <v>0.84</v>
      </c>
      <c r="G19" s="267">
        <f>IF(F19&gt;=0.8,F19,"")</f>
        <v>0.84</v>
      </c>
      <c r="H19" s="267" t="str">
        <f>IF(AND(F19&lt;0.8,F19&gt;=0.5),F19,"")</f>
        <v/>
      </c>
      <c r="I19" s="267" t="str">
        <f>IF(F19&lt;0.5,F19,"")</f>
        <v/>
      </c>
      <c r="J19" s="304"/>
    </row>
    <row r="20" spans="1:10" ht="17">
      <c r="A20" s="262"/>
      <c r="B20" s="297"/>
      <c r="C20" s="303"/>
      <c r="D20" s="295"/>
      <c r="E20" s="295"/>
      <c r="F20" s="295"/>
      <c r="G20" s="295"/>
      <c r="H20" s="295"/>
      <c r="I20" s="295"/>
    </row>
    <row r="21" spans="1:10" ht="17">
      <c r="A21" s="262"/>
      <c r="B21" s="299" t="s">
        <v>1053</v>
      </c>
      <c r="C21" s="300">
        <v>4</v>
      </c>
      <c r="D21" s="296">
        <v>1</v>
      </c>
      <c r="E21" s="295"/>
      <c r="F21" s="295"/>
      <c r="G21" s="295"/>
      <c r="H21" s="295"/>
      <c r="I21" s="295"/>
    </row>
    <row r="22" spans="1:10" ht="17">
      <c r="A22" s="262"/>
      <c r="B22" s="301" t="s">
        <v>1054</v>
      </c>
      <c r="C22" s="302">
        <v>4</v>
      </c>
      <c r="D22" s="296">
        <v>0.8</v>
      </c>
      <c r="E22" s="295"/>
      <c r="F22" s="295"/>
      <c r="G22" s="295"/>
      <c r="H22" s="295"/>
      <c r="I22" s="295"/>
    </row>
    <row r="23" spans="1:10" ht="17">
      <c r="A23" s="262"/>
      <c r="B23" s="301" t="s">
        <v>1055</v>
      </c>
      <c r="C23" s="302">
        <v>4</v>
      </c>
      <c r="D23" s="296">
        <v>1</v>
      </c>
      <c r="E23" s="295"/>
      <c r="F23" s="295"/>
      <c r="G23" s="295"/>
      <c r="H23" s="295"/>
      <c r="I23" s="295"/>
    </row>
    <row r="24" spans="1:10" ht="17">
      <c r="A24" s="262"/>
      <c r="B24" s="301" t="s">
        <v>1056</v>
      </c>
      <c r="C24" s="302">
        <v>5</v>
      </c>
      <c r="D24" s="296">
        <v>0.8</v>
      </c>
      <c r="E24" s="295"/>
      <c r="F24" s="295"/>
      <c r="G24" s="295"/>
      <c r="H24" s="295"/>
      <c r="I24" s="295"/>
    </row>
    <row r="25" spans="1:10" ht="17">
      <c r="A25" s="262"/>
      <c r="B25" s="301" t="s">
        <v>1057</v>
      </c>
      <c r="C25" s="302">
        <v>4</v>
      </c>
      <c r="D25" s="296">
        <v>1</v>
      </c>
      <c r="E25" s="295"/>
      <c r="F25" s="295">
        <v>0.5</v>
      </c>
      <c r="G25" s="295">
        <v>0.7</v>
      </c>
      <c r="H25" s="295">
        <v>1</v>
      </c>
      <c r="I25" s="295"/>
    </row>
    <row r="26" spans="1:10" ht="17">
      <c r="A26" s="262"/>
      <c r="B26" s="297"/>
      <c r="C26" s="297"/>
      <c r="D26" s="296">
        <v>0.91999999999999993</v>
      </c>
      <c r="E26" s="295"/>
      <c r="F26" s="295">
        <v>0</v>
      </c>
      <c r="G26" s="295">
        <v>0</v>
      </c>
      <c r="H26" s="295">
        <v>1</v>
      </c>
      <c r="I26" s="295"/>
    </row>
    <row r="27" spans="1:10" ht="17">
      <c r="A27" s="262"/>
      <c r="B27" s="309" t="s">
        <v>1063</v>
      </c>
      <c r="C27" s="310">
        <f>C4+C11+C19</f>
        <v>0.89599999999999991</v>
      </c>
      <c r="D27" s="295"/>
      <c r="E27" s="295"/>
      <c r="F27" s="295"/>
      <c r="G27" s="295"/>
      <c r="H27" s="295"/>
      <c r="I27" s="295"/>
    </row>
    <row r="28" spans="1:10" ht="17">
      <c r="A28" s="262"/>
      <c r="B28" s="311" t="s">
        <v>1062</v>
      </c>
      <c r="C28" s="312">
        <f ca="1">KPI_Слушателя!C4</f>
        <v>0.97058823529411764</v>
      </c>
      <c r="D28" s="295"/>
      <c r="E28" s="295"/>
      <c r="F28" s="295"/>
      <c r="G28" s="295"/>
      <c r="H28" s="295"/>
      <c r="I28" s="295"/>
    </row>
    <row r="29" spans="1:10" ht="17">
      <c r="A29" s="262"/>
      <c r="B29" s="311" t="s">
        <v>1061</v>
      </c>
      <c r="C29" s="312">
        <f>KPI_Слушателя!K4</f>
        <v>1</v>
      </c>
      <c r="D29" s="295"/>
      <c r="E29" s="295"/>
      <c r="F29" s="295">
        <v>4</v>
      </c>
      <c r="G29" s="295">
        <v>4.5</v>
      </c>
      <c r="H29" s="295">
        <v>5</v>
      </c>
      <c r="I29" s="295"/>
    </row>
    <row r="30" spans="1:10">
      <c r="A30" s="262"/>
      <c r="B30" s="262"/>
      <c r="C30" s="262"/>
      <c r="D30" s="295">
        <v>4.3800000000000008</v>
      </c>
      <c r="E30" s="295"/>
      <c r="F30" s="295">
        <v>0</v>
      </c>
      <c r="G30" s="295">
        <v>1</v>
      </c>
      <c r="H30" s="295">
        <v>0</v>
      </c>
      <c r="I30" s="295"/>
    </row>
    <row r="31" spans="1:10" hidden="1">
      <c r="A31" s="262"/>
      <c r="B31" s="262"/>
      <c r="C31" s="262"/>
      <c r="D31" s="295"/>
      <c r="E31" s="295"/>
      <c r="F31" s="295"/>
      <c r="G31" s="295"/>
      <c r="H31" s="295"/>
      <c r="I31" s="295"/>
    </row>
  </sheetData>
  <sheetProtection algorithmName="SHA-512" hashValue="tZX0ixyXQ6ZGvT48hedi/VLLyf0OVRl20lWo+ry/+Ow5z5rpd57DLZ2XrgbGClDt2L7tVBhgTefbN8FyoUxGZg==" saltValue="jaIvzjgwl38zREMPEK7hnw==" spinCount="100000" sheet="1" objects="1" scenarios="1"/>
  <conditionalFormatting sqref="C6:C10 C12:C18 C20:C25">
    <cfRule type="expression" dxfId="118" priority="1">
      <formula>OR(C6=5)</formula>
    </cfRule>
    <cfRule type="expression" dxfId="117" priority="2">
      <formula>OR(C6=3,C6=4)</formula>
    </cfRule>
    <cfRule type="expression" dxfId="116" priority="3">
      <formula>OR(C6=1,C6=2)</formula>
    </cfRule>
  </conditionalFormatting>
  <dataValidations count="1">
    <dataValidation type="list" allowBlank="1" showInputMessage="1" showErrorMessage="1" sqref="C6:C9 C13:C17 C21:C25" xr:uid="{00000000-0002-0000-0300-000000000000}">
      <formula1>$E$4:$E$8</formula1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 tint="0.59999389629810485"/>
  </sheetPr>
  <dimension ref="A1:O32"/>
  <sheetViews>
    <sheetView showGridLines="0" topLeftCell="C1" workbookViewId="0">
      <selection activeCell="I17" sqref="I17"/>
    </sheetView>
  </sheetViews>
  <sheetFormatPr baseColWidth="10" defaultColWidth="8.83203125" defaultRowHeight="15"/>
  <cols>
    <col min="2" max="2" width="12" bestFit="1" customWidth="1"/>
    <col min="3" max="3" width="14.6640625" customWidth="1"/>
    <col min="4" max="4" width="12.5" customWidth="1"/>
    <col min="5" max="5" width="9.5" bestFit="1" customWidth="1"/>
    <col min="6" max="6" width="13.6640625" customWidth="1"/>
    <col min="7" max="7" width="12" bestFit="1" customWidth="1"/>
    <col min="8" max="8" width="23.1640625" bestFit="1" customWidth="1"/>
    <col min="9" max="9" width="11.5" customWidth="1"/>
  </cols>
  <sheetData>
    <row r="1" spans="1:15" ht="19">
      <c r="A1" s="13"/>
      <c r="B1" s="19"/>
      <c r="C1" s="19"/>
      <c r="D1" s="23">
        <f>2+2*3</f>
        <v>8</v>
      </c>
      <c r="E1" s="19"/>
      <c r="F1" s="19"/>
      <c r="G1" s="14"/>
      <c r="H1" s="13"/>
      <c r="J1" s="51" t="s">
        <v>59</v>
      </c>
      <c r="K1" s="52"/>
      <c r="L1" s="53" t="s">
        <v>60</v>
      </c>
      <c r="M1" s="52">
        <f>COUNTA(J3:J4)</f>
        <v>2</v>
      </c>
    </row>
    <row r="2" spans="1:15">
      <c r="A2" s="13"/>
      <c r="B2" s="13"/>
      <c r="C2" s="13"/>
      <c r="D2" s="23">
        <f>(2+2)*3</f>
        <v>12</v>
      </c>
      <c r="E2" s="13"/>
      <c r="F2" s="13"/>
      <c r="J2" s="54"/>
      <c r="K2" s="54"/>
      <c r="L2" s="54"/>
      <c r="M2" s="54"/>
    </row>
    <row r="3" spans="1:15">
      <c r="A3" s="13"/>
      <c r="J3" s="55" t="s">
        <v>63</v>
      </c>
      <c r="K3" s="56"/>
      <c r="L3" s="56"/>
      <c r="M3" s="57" t="str">
        <f t="array" ref="M3">IF(SUM(COUNTIF(E17:E32,F17:F32))=COUNTA(B17:B32),"ДА","НЕТ")</f>
        <v>ДА</v>
      </c>
    </row>
    <row r="4" spans="1:15" ht="19">
      <c r="A4" s="12"/>
      <c r="B4" s="397" t="s">
        <v>8</v>
      </c>
      <c r="C4" s="397"/>
      <c r="D4" s="20" t="s">
        <v>1140</v>
      </c>
      <c r="E4" s="20"/>
      <c r="F4" s="20"/>
      <c r="G4" s="397" t="s">
        <v>9</v>
      </c>
      <c r="H4" s="397"/>
      <c r="J4" s="55" t="s">
        <v>64</v>
      </c>
      <c r="K4" s="56"/>
      <c r="L4" s="56"/>
      <c r="M4" s="57" t="str">
        <f t="array" ref="M4">IF(SUM(IF(J17:J24=M17:M24,1,0))+SUM(IF(K17:K24=N17:N24,1,0))+SUM(IF(L17:L24=O17:O24,1,0))=COUNTA(H17:H24)*3,"ДА","НЕТ")</f>
        <v>ДА</v>
      </c>
    </row>
    <row r="5" spans="1:15" ht="19">
      <c r="B5" s="22" t="s">
        <v>10</v>
      </c>
      <c r="C5" s="22" t="s">
        <v>11</v>
      </c>
      <c r="D5" s="20" t="s">
        <v>1141</v>
      </c>
      <c r="E5" s="20"/>
      <c r="F5" s="20"/>
      <c r="G5" s="22" t="s">
        <v>10</v>
      </c>
      <c r="H5" s="22" t="s">
        <v>11</v>
      </c>
    </row>
    <row r="6" spans="1:15" ht="19">
      <c r="B6" s="16" t="s">
        <v>12</v>
      </c>
      <c r="C6" s="21" t="s">
        <v>13</v>
      </c>
      <c r="D6" s="20" t="s">
        <v>1142</v>
      </c>
      <c r="E6" s="18"/>
      <c r="F6" s="20"/>
      <c r="G6" s="16" t="s">
        <v>14</v>
      </c>
      <c r="H6" s="21" t="s">
        <v>15</v>
      </c>
      <c r="J6" s="58" t="s">
        <v>66</v>
      </c>
      <c r="K6" s="59"/>
      <c r="L6" s="59"/>
      <c r="M6" s="59"/>
      <c r="N6" s="60" t="s">
        <v>65</v>
      </c>
      <c r="O6" s="57" t="str">
        <f>IF(COUNTA(M3:M4)=COUNTIF(M3:M4,"ДА"),"ДА","НЕТ")</f>
        <v>ДА</v>
      </c>
    </row>
    <row r="7" spans="1:15" ht="19">
      <c r="B7" s="16" t="s">
        <v>16</v>
      </c>
      <c r="C7" s="21" t="s">
        <v>17</v>
      </c>
      <c r="D7" s="20"/>
      <c r="E7" s="20"/>
      <c r="F7" s="20"/>
      <c r="G7" s="16" t="s">
        <v>18</v>
      </c>
      <c r="H7" s="21" t="s">
        <v>19</v>
      </c>
    </row>
    <row r="8" spans="1:15" ht="19">
      <c r="B8" s="16" t="s">
        <v>20</v>
      </c>
      <c r="C8" s="21" t="s">
        <v>21</v>
      </c>
      <c r="D8" s="20"/>
      <c r="E8" s="20"/>
      <c r="F8" s="20"/>
      <c r="G8" s="16" t="s">
        <v>22</v>
      </c>
      <c r="H8" s="21" t="s">
        <v>23</v>
      </c>
    </row>
    <row r="9" spans="1:15" ht="19">
      <c r="B9" s="16" t="s">
        <v>24</v>
      </c>
      <c r="C9" s="21" t="s">
        <v>25</v>
      </c>
      <c r="D9" s="20"/>
      <c r="E9" s="20"/>
      <c r="F9" s="20"/>
      <c r="G9" s="16" t="s">
        <v>26</v>
      </c>
      <c r="H9" s="21" t="s">
        <v>27</v>
      </c>
    </row>
    <row r="10" spans="1:15" ht="21">
      <c r="B10" s="16" t="s">
        <v>28</v>
      </c>
      <c r="C10" s="21" t="s">
        <v>29</v>
      </c>
      <c r="D10" s="20"/>
      <c r="E10" s="20"/>
      <c r="F10" s="20"/>
      <c r="G10" s="16" t="s">
        <v>30</v>
      </c>
      <c r="H10" s="21" t="s">
        <v>31</v>
      </c>
      <c r="J10" s="27"/>
    </row>
    <row r="11" spans="1:15" ht="21">
      <c r="B11" s="16" t="s">
        <v>32</v>
      </c>
      <c r="C11" s="21" t="s">
        <v>33</v>
      </c>
      <c r="D11" s="20"/>
      <c r="E11" s="20"/>
      <c r="F11" s="20"/>
      <c r="G11" s="16" t="s">
        <v>34</v>
      </c>
      <c r="H11" s="21" t="s">
        <v>35</v>
      </c>
      <c r="K11" s="63"/>
      <c r="L11" s="63"/>
      <c r="M11" s="63"/>
      <c r="N11" s="63"/>
    </row>
    <row r="13" spans="1:15">
      <c r="D13" t="s">
        <v>1143</v>
      </c>
    </row>
    <row r="14" spans="1:15" ht="21">
      <c r="B14" s="28" t="s">
        <v>58</v>
      </c>
      <c r="C14" s="29"/>
      <c r="D14" t="s">
        <v>1144</v>
      </c>
      <c r="E14" s="30"/>
      <c r="F14" s="30"/>
      <c r="H14" s="28" t="s">
        <v>57</v>
      </c>
    </row>
    <row r="15" spans="1:15">
      <c r="I15" s="26"/>
      <c r="J15" s="26"/>
    </row>
    <row r="16" spans="1:15" ht="32">
      <c r="B16" s="32" t="s">
        <v>56</v>
      </c>
      <c r="C16" s="32" t="s">
        <v>61</v>
      </c>
      <c r="D16" s="32" t="s">
        <v>62</v>
      </c>
      <c r="E16" s="32" t="s">
        <v>55</v>
      </c>
      <c r="H16" s="38" t="s">
        <v>54</v>
      </c>
      <c r="I16" s="38" t="s">
        <v>53</v>
      </c>
      <c r="J16" s="38" t="s">
        <v>14</v>
      </c>
      <c r="K16" s="38" t="s">
        <v>22</v>
      </c>
      <c r="L16" s="38" t="s">
        <v>34</v>
      </c>
    </row>
    <row r="17" spans="2:15">
      <c r="B17" s="33" t="s">
        <v>52</v>
      </c>
      <c r="C17" s="34">
        <v>14</v>
      </c>
      <c r="D17" s="34">
        <v>17</v>
      </c>
      <c r="E17" s="268">
        <f>C17+D17</f>
        <v>31</v>
      </c>
      <c r="F17" s="50">
        <v>31</v>
      </c>
      <c r="H17" s="39">
        <v>7</v>
      </c>
      <c r="I17" s="40">
        <v>15</v>
      </c>
      <c r="J17" s="41" t="b">
        <f>IF(H17=I17,TRUE,FALSE)</f>
        <v>0</v>
      </c>
      <c r="K17" s="41" t="b">
        <f>IF(H17&gt;I17,TRUE,FALSE)</f>
        <v>0</v>
      </c>
      <c r="L17" s="41" t="b">
        <f>IF(J17=TRUE,FALSE,TRUE)</f>
        <v>1</v>
      </c>
      <c r="M17" s="50" t="b">
        <v>0</v>
      </c>
      <c r="N17" s="50" t="b">
        <v>0</v>
      </c>
      <c r="O17" s="50" t="b">
        <v>1</v>
      </c>
    </row>
    <row r="18" spans="2:15">
      <c r="B18" s="33" t="s">
        <v>51</v>
      </c>
      <c r="C18" s="34">
        <v>22</v>
      </c>
      <c r="D18" s="34">
        <v>25</v>
      </c>
      <c r="E18" s="268">
        <f t="shared" ref="E18:E32" si="0">C18+D18</f>
        <v>47</v>
      </c>
      <c r="F18" s="50">
        <v>47</v>
      </c>
      <c r="H18" s="42">
        <v>0.54166666666666663</v>
      </c>
      <c r="I18" s="43">
        <v>0.58333333333333337</v>
      </c>
      <c r="J18" s="41" t="b">
        <f t="shared" ref="J18:J24" si="1">IF(H18=I18,TRUE,FALSE)</f>
        <v>0</v>
      </c>
      <c r="K18" s="41" t="b">
        <f t="shared" ref="K18:K24" si="2">IF(H18&gt;I18,TRUE,FALSE)</f>
        <v>0</v>
      </c>
      <c r="L18" s="41" t="b">
        <f t="shared" ref="L18:L24" si="3">IF(J18=TRUE,FALSE,TRUE)</f>
        <v>1</v>
      </c>
      <c r="M18" s="50" t="b">
        <v>0</v>
      </c>
      <c r="N18" s="50" t="b">
        <v>0</v>
      </c>
      <c r="O18" s="50" t="b">
        <v>1</v>
      </c>
    </row>
    <row r="19" spans="2:15">
      <c r="B19" s="33" t="s">
        <v>50</v>
      </c>
      <c r="C19" s="34">
        <v>3</v>
      </c>
      <c r="D19" s="34">
        <v>6</v>
      </c>
      <c r="E19" s="268">
        <f t="shared" si="0"/>
        <v>9</v>
      </c>
      <c r="F19" s="50">
        <v>9</v>
      </c>
      <c r="H19" s="44">
        <v>0.15</v>
      </c>
      <c r="I19" s="45">
        <v>0.13700000000000001</v>
      </c>
      <c r="J19" s="41" t="b">
        <f t="shared" si="1"/>
        <v>0</v>
      </c>
      <c r="K19" s="41" t="b">
        <f t="shared" si="2"/>
        <v>1</v>
      </c>
      <c r="L19" s="41" t="b">
        <f t="shared" si="3"/>
        <v>1</v>
      </c>
      <c r="M19" s="50" t="b">
        <v>0</v>
      </c>
      <c r="N19" s="50" t="b">
        <v>1</v>
      </c>
      <c r="O19" s="50" t="b">
        <v>1</v>
      </c>
    </row>
    <row r="20" spans="2:15">
      <c r="B20" s="33" t="s">
        <v>49</v>
      </c>
      <c r="C20" s="34">
        <v>8</v>
      </c>
      <c r="D20" s="34">
        <v>11</v>
      </c>
      <c r="E20" s="268">
        <f t="shared" si="0"/>
        <v>19</v>
      </c>
      <c r="F20" s="50">
        <v>19</v>
      </c>
      <c r="H20" s="46">
        <v>0.77777777777777779</v>
      </c>
      <c r="I20" s="47">
        <v>0.88888888888888884</v>
      </c>
      <c r="J20" s="41" t="b">
        <f t="shared" si="1"/>
        <v>0</v>
      </c>
      <c r="K20" s="41" t="b">
        <f t="shared" si="2"/>
        <v>0</v>
      </c>
      <c r="L20" s="41" t="b">
        <f t="shared" si="3"/>
        <v>1</v>
      </c>
      <c r="M20" s="50" t="b">
        <v>0</v>
      </c>
      <c r="N20" s="50" t="b">
        <v>0</v>
      </c>
      <c r="O20" s="50" t="b">
        <v>1</v>
      </c>
    </row>
    <row r="21" spans="2:15">
      <c r="B21" s="33" t="s">
        <v>48</v>
      </c>
      <c r="C21" s="34">
        <v>5</v>
      </c>
      <c r="D21" s="34">
        <v>3</v>
      </c>
      <c r="E21" s="268">
        <f t="shared" si="0"/>
        <v>8</v>
      </c>
      <c r="F21" s="50">
        <v>8</v>
      </c>
      <c r="H21" s="39">
        <v>13</v>
      </c>
      <c r="I21" s="40">
        <v>13</v>
      </c>
      <c r="J21" s="41" t="b">
        <f t="shared" si="1"/>
        <v>1</v>
      </c>
      <c r="K21" s="41" t="b">
        <f t="shared" si="2"/>
        <v>0</v>
      </c>
      <c r="L21" s="41" t="b">
        <f t="shared" si="3"/>
        <v>0</v>
      </c>
      <c r="M21" s="50" t="b">
        <v>1</v>
      </c>
      <c r="N21" s="50" t="b">
        <v>0</v>
      </c>
      <c r="O21" s="50" t="b">
        <v>0</v>
      </c>
    </row>
    <row r="22" spans="2:15">
      <c r="B22" s="33" t="s">
        <v>47</v>
      </c>
      <c r="C22" s="34">
        <v>7</v>
      </c>
      <c r="D22" s="34">
        <v>4</v>
      </c>
      <c r="E22" s="268">
        <f t="shared" si="0"/>
        <v>11</v>
      </c>
      <c r="F22" s="50">
        <v>11</v>
      </c>
      <c r="H22" s="39" t="s">
        <v>44</v>
      </c>
      <c r="I22" s="40" t="s">
        <v>44</v>
      </c>
      <c r="J22" s="41" t="b">
        <f t="shared" si="1"/>
        <v>1</v>
      </c>
      <c r="K22" s="41" t="b">
        <f t="shared" si="2"/>
        <v>0</v>
      </c>
      <c r="L22" s="41" t="b">
        <f t="shared" si="3"/>
        <v>0</v>
      </c>
      <c r="M22" s="50" t="b">
        <v>1</v>
      </c>
      <c r="N22" s="50" t="b">
        <v>0</v>
      </c>
      <c r="O22" s="50" t="b">
        <v>0</v>
      </c>
    </row>
    <row r="23" spans="2:15">
      <c r="B23" s="33" t="s">
        <v>46</v>
      </c>
      <c r="C23" s="34">
        <v>18</v>
      </c>
      <c r="D23" s="34">
        <v>11</v>
      </c>
      <c r="E23" s="268">
        <f t="shared" si="0"/>
        <v>29</v>
      </c>
      <c r="F23" s="50">
        <v>29</v>
      </c>
      <c r="H23" s="48">
        <v>43295</v>
      </c>
      <c r="I23" s="49">
        <v>42930</v>
      </c>
      <c r="J23" s="41" t="b">
        <f t="shared" si="1"/>
        <v>0</v>
      </c>
      <c r="K23" s="41" t="b">
        <f t="shared" si="2"/>
        <v>1</v>
      </c>
      <c r="L23" s="41" t="b">
        <f t="shared" si="3"/>
        <v>1</v>
      </c>
      <c r="M23" s="50" t="b">
        <v>0</v>
      </c>
      <c r="N23" s="50" t="b">
        <v>1</v>
      </c>
      <c r="O23" s="50" t="b">
        <v>1</v>
      </c>
    </row>
    <row r="24" spans="2:15">
      <c r="B24" s="33" t="s">
        <v>45</v>
      </c>
      <c r="C24" s="34">
        <v>11</v>
      </c>
      <c r="D24" s="34">
        <v>7</v>
      </c>
      <c r="E24" s="268">
        <f t="shared" si="0"/>
        <v>18</v>
      </c>
      <c r="F24" s="50">
        <v>18</v>
      </c>
      <c r="H24" s="315" t="s">
        <v>296</v>
      </c>
      <c r="I24" s="316" t="s">
        <v>1066</v>
      </c>
      <c r="J24" s="41" t="b">
        <f t="shared" si="1"/>
        <v>0</v>
      </c>
      <c r="K24" s="41" t="b">
        <f t="shared" si="2"/>
        <v>1</v>
      </c>
      <c r="L24" s="41" t="b">
        <f t="shared" si="3"/>
        <v>1</v>
      </c>
      <c r="M24" s="50" t="b">
        <v>0</v>
      </c>
      <c r="N24" s="50" t="b">
        <v>1</v>
      </c>
      <c r="O24" s="50" t="b">
        <v>1</v>
      </c>
    </row>
    <row r="25" spans="2:15">
      <c r="B25" s="33" t="s">
        <v>43</v>
      </c>
      <c r="C25" s="34">
        <v>15</v>
      </c>
      <c r="D25" s="34">
        <v>9</v>
      </c>
      <c r="E25" s="268">
        <f t="shared" si="0"/>
        <v>24</v>
      </c>
      <c r="F25" s="50">
        <v>24</v>
      </c>
    </row>
    <row r="26" spans="2:15">
      <c r="B26" s="33" t="s">
        <v>42</v>
      </c>
      <c r="C26" s="34">
        <v>7</v>
      </c>
      <c r="D26" s="34">
        <v>3</v>
      </c>
      <c r="E26" s="268">
        <f t="shared" si="0"/>
        <v>10</v>
      </c>
      <c r="F26" s="50">
        <v>10</v>
      </c>
    </row>
    <row r="27" spans="2:15">
      <c r="B27" s="33" t="s">
        <v>41</v>
      </c>
      <c r="C27" s="34">
        <v>6</v>
      </c>
      <c r="D27" s="34">
        <v>8</v>
      </c>
      <c r="E27" s="268">
        <f t="shared" si="0"/>
        <v>14</v>
      </c>
      <c r="F27" s="50">
        <v>14</v>
      </c>
    </row>
    <row r="28" spans="2:15">
      <c r="B28" s="33" t="s">
        <v>40</v>
      </c>
      <c r="C28" s="34">
        <v>2</v>
      </c>
      <c r="D28" s="34">
        <v>5</v>
      </c>
      <c r="E28" s="268">
        <f t="shared" si="0"/>
        <v>7</v>
      </c>
      <c r="F28" s="50">
        <v>7</v>
      </c>
    </row>
    <row r="29" spans="2:15">
      <c r="B29" s="33" t="s">
        <v>39</v>
      </c>
      <c r="C29" s="34">
        <v>9</v>
      </c>
      <c r="D29" s="34">
        <v>7</v>
      </c>
      <c r="E29" s="268">
        <f t="shared" si="0"/>
        <v>16</v>
      </c>
      <c r="F29" s="50">
        <v>16</v>
      </c>
    </row>
    <row r="30" spans="2:15">
      <c r="B30" s="33" t="s">
        <v>38</v>
      </c>
      <c r="C30" s="34">
        <v>4</v>
      </c>
      <c r="D30" s="34">
        <v>22</v>
      </c>
      <c r="E30" s="268">
        <f t="shared" si="0"/>
        <v>26</v>
      </c>
      <c r="F30" s="50">
        <v>26</v>
      </c>
    </row>
    <row r="31" spans="2:15">
      <c r="B31" s="33" t="s">
        <v>37</v>
      </c>
      <c r="C31" s="34">
        <v>11</v>
      </c>
      <c r="D31" s="34">
        <v>21</v>
      </c>
      <c r="E31" s="268">
        <f t="shared" si="0"/>
        <v>32</v>
      </c>
      <c r="F31" s="50">
        <v>32</v>
      </c>
    </row>
    <row r="32" spans="2:15">
      <c r="B32" s="35" t="s">
        <v>36</v>
      </c>
      <c r="C32" s="36">
        <v>8</v>
      </c>
      <c r="D32" s="37">
        <v>9</v>
      </c>
      <c r="E32" s="268">
        <f t="shared" si="0"/>
        <v>17</v>
      </c>
      <c r="F32" s="50">
        <v>17</v>
      </c>
    </row>
  </sheetData>
  <mergeCells count="2">
    <mergeCell ref="B4:C4"/>
    <mergeCell ref="G4:H4"/>
  </mergeCells>
  <conditionalFormatting sqref="O6">
    <cfRule type="cellIs" dxfId="115" priority="1" operator="equal">
      <formula>"нет"</formula>
    </cfRule>
    <cfRule type="cellIs" dxfId="114" priority="2" operator="equal">
      <formula>"да"</formula>
    </cfRule>
  </conditionalFormatting>
  <conditionalFormatting sqref="M3:M4">
    <cfRule type="cellIs" dxfId="113" priority="3" operator="equal">
      <formula>"нет"</formula>
    </cfRule>
    <cfRule type="cellIs" dxfId="112" priority="4" operator="equal">
      <formula>"да"</formula>
    </cfRule>
  </conditionalFormatting>
  <pageMargins left="0.7" right="0.7" top="0.75" bottom="0.75" header="0.3" footer="0.3"/>
  <pageSetup paperSize="9" orientation="portrait" horizontalDpi="360" verticalDpi="36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 tint="0.59999389629810485"/>
  </sheetPr>
  <dimension ref="A1:N76"/>
  <sheetViews>
    <sheetView showGridLines="0" zoomScale="75" workbookViewId="0">
      <selection activeCell="O27" sqref="O27"/>
    </sheetView>
  </sheetViews>
  <sheetFormatPr baseColWidth="10" defaultColWidth="8.83203125" defaultRowHeight="15"/>
  <cols>
    <col min="1" max="1" width="4.6640625" customWidth="1"/>
    <col min="2" max="5" width="15.5" customWidth="1"/>
    <col min="6" max="8" width="12.83203125" customWidth="1"/>
    <col min="9" max="9" width="18" customWidth="1"/>
    <col min="10" max="11" width="12.83203125" customWidth="1"/>
  </cols>
  <sheetData>
    <row r="1" spans="2:14" ht="21">
      <c r="B1" s="27" t="s">
        <v>67</v>
      </c>
      <c r="H1" s="54"/>
      <c r="I1" s="51" t="s">
        <v>59</v>
      </c>
      <c r="J1" s="52"/>
      <c r="K1" s="53" t="s">
        <v>60</v>
      </c>
      <c r="L1" s="52">
        <f>COUNTA(I3:I5)</f>
        <v>3</v>
      </c>
    </row>
    <row r="2" spans="2:14" ht="21">
      <c r="D2" s="27"/>
      <c r="E2" s="27"/>
      <c r="F2" s="27"/>
      <c r="H2" s="54"/>
      <c r="I2" s="54"/>
      <c r="J2" s="54"/>
      <c r="K2" s="54"/>
      <c r="L2" s="54"/>
    </row>
    <row r="3" spans="2:14" ht="32">
      <c r="B3" s="25" t="s">
        <v>68</v>
      </c>
      <c r="C3" s="25" t="s">
        <v>69</v>
      </c>
      <c r="D3" s="25" t="s">
        <v>70</v>
      </c>
      <c r="E3" s="25" t="s">
        <v>71</v>
      </c>
      <c r="F3" s="25" t="s">
        <v>72</v>
      </c>
      <c r="H3" s="54"/>
      <c r="I3" s="55" t="s">
        <v>98</v>
      </c>
      <c r="J3" s="56"/>
      <c r="K3" s="56"/>
      <c r="L3" s="57" t="str">
        <f t="array" ref="L3">IF(SUM(COUNTIF(F4:F8,G4:G8))=COUNTA(B4:B8),"ДА","НЕТ")</f>
        <v>ДА</v>
      </c>
    </row>
    <row r="4" spans="2:14">
      <c r="B4" s="61" t="s">
        <v>73</v>
      </c>
      <c r="C4" s="61">
        <v>42804</v>
      </c>
      <c r="D4" s="61">
        <v>42809</v>
      </c>
      <c r="E4" s="62">
        <v>500</v>
      </c>
      <c r="F4" s="67">
        <f>(D4-C4+1)*E4</f>
        <v>3000</v>
      </c>
      <c r="G4" s="50">
        <v>3000</v>
      </c>
      <c r="H4" s="54"/>
      <c r="I4" s="55" t="s">
        <v>99</v>
      </c>
      <c r="J4" s="56"/>
      <c r="K4" s="56"/>
      <c r="L4" s="57" t="str">
        <f t="array" ref="L4">IF(SUM(IF(E14:E18=G14:G18,1,0))+SUM(IF(F14:F18=H14:H18,1,0))=COUNTA(B14:B18)*2,"ДА","НЕТ")</f>
        <v>ДА</v>
      </c>
    </row>
    <row r="5" spans="2:14">
      <c r="B5" s="17" t="s">
        <v>74</v>
      </c>
      <c r="C5" s="61">
        <v>42828</v>
      </c>
      <c r="D5" s="61">
        <v>42834</v>
      </c>
      <c r="E5" s="17">
        <v>300</v>
      </c>
      <c r="F5" s="67">
        <f t="shared" ref="F5:F8" si="0">(D5-C5+1)*E5</f>
        <v>2100</v>
      </c>
      <c r="G5" s="50">
        <v>2100</v>
      </c>
      <c r="H5" s="54"/>
      <c r="I5" s="55" t="s">
        <v>1068</v>
      </c>
      <c r="J5" s="55"/>
      <c r="K5" s="55"/>
      <c r="L5" s="57" t="str">
        <f t="array" ref="L5">IF(SUM(IF(F25:F36=J25:J36,1,0))+SUM(IF(I25:I36=K25:K36,1,0))=COUNTA(B25:B36)*2,"ДА","НЕТ")</f>
        <v>ДА</v>
      </c>
    </row>
    <row r="6" spans="2:14">
      <c r="B6" s="17" t="s">
        <v>75</v>
      </c>
      <c r="C6" s="61">
        <v>42865</v>
      </c>
      <c r="D6" s="61">
        <v>42876</v>
      </c>
      <c r="E6" s="17">
        <v>450</v>
      </c>
      <c r="F6" s="67">
        <f t="shared" si="0"/>
        <v>5400</v>
      </c>
      <c r="G6" s="50">
        <v>5400</v>
      </c>
      <c r="H6" s="54"/>
    </row>
    <row r="7" spans="2:14" ht="16">
      <c r="B7" s="17" t="s">
        <v>76</v>
      </c>
      <c r="C7" s="61">
        <v>42887</v>
      </c>
      <c r="D7" s="61">
        <v>42891</v>
      </c>
      <c r="E7" s="17">
        <v>500</v>
      </c>
      <c r="F7" s="67">
        <f t="shared" si="0"/>
        <v>2500</v>
      </c>
      <c r="G7" s="50">
        <v>2500</v>
      </c>
      <c r="H7" s="54"/>
      <c r="I7" s="58" t="s">
        <v>100</v>
      </c>
      <c r="J7" s="59"/>
      <c r="K7" s="59"/>
      <c r="L7" s="59"/>
      <c r="M7" s="60" t="s">
        <v>65</v>
      </c>
      <c r="N7" s="57" t="str">
        <f>IF(COUNTA(L3:L5)=COUNTIF(L3:L5,"ДА"),"ДА","НЕТ")</f>
        <v>ДА</v>
      </c>
    </row>
    <row r="8" spans="2:14">
      <c r="B8" s="17" t="s">
        <v>77</v>
      </c>
      <c r="C8" s="61">
        <v>42907</v>
      </c>
      <c r="D8" s="61">
        <v>42916</v>
      </c>
      <c r="E8" s="17">
        <v>450</v>
      </c>
      <c r="F8" s="67">
        <f t="shared" si="0"/>
        <v>4500</v>
      </c>
      <c r="G8" s="50">
        <v>4500</v>
      </c>
    </row>
    <row r="11" spans="2:14" ht="21">
      <c r="B11" s="27" t="s">
        <v>78</v>
      </c>
    </row>
    <row r="12" spans="2:14" ht="21">
      <c r="C12" s="63"/>
      <c r="D12" s="63"/>
      <c r="E12" s="63"/>
      <c r="F12" s="63"/>
    </row>
    <row r="13" spans="2:14" ht="34.5" customHeight="1">
      <c r="B13" s="25" t="s">
        <v>68</v>
      </c>
      <c r="C13" s="25" t="s">
        <v>69</v>
      </c>
      <c r="D13" s="25" t="s">
        <v>70</v>
      </c>
      <c r="E13" s="25" t="s">
        <v>72</v>
      </c>
      <c r="F13" s="70" t="s">
        <v>72</v>
      </c>
      <c r="H13" s="25" t="s">
        <v>71</v>
      </c>
      <c r="I13" s="64">
        <v>500</v>
      </c>
    </row>
    <row r="14" spans="2:14">
      <c r="B14" s="61" t="s">
        <v>73</v>
      </c>
      <c r="C14" s="61">
        <v>42804</v>
      </c>
      <c r="D14" s="61">
        <v>42809</v>
      </c>
      <c r="E14" s="67">
        <f>(D14-C14+1)*$I$13</f>
        <v>3000</v>
      </c>
      <c r="F14" s="67">
        <f>(D14-C14+1)*СтоимДня!$C$2</f>
        <v>3000</v>
      </c>
      <c r="G14" s="50">
        <v>3000</v>
      </c>
      <c r="H14" s="50">
        <v>3000</v>
      </c>
    </row>
    <row r="15" spans="2:14">
      <c r="B15" s="17" t="s">
        <v>74</v>
      </c>
      <c r="C15" s="61">
        <v>42828</v>
      </c>
      <c r="D15" s="61">
        <v>42834</v>
      </c>
      <c r="E15" s="67">
        <f t="shared" ref="E15:E19" si="1">(D15-C15+1)*$I$13</f>
        <v>3500</v>
      </c>
      <c r="F15" s="67">
        <f>(D15-C15+1)*СтоимДня!$C$2</f>
        <v>3500</v>
      </c>
      <c r="G15" s="50">
        <v>3500</v>
      </c>
      <c r="H15" s="50">
        <v>3500</v>
      </c>
    </row>
    <row r="16" spans="2:14">
      <c r="B16" s="17" t="s">
        <v>75</v>
      </c>
      <c r="C16" s="61">
        <v>42865</v>
      </c>
      <c r="D16" s="61">
        <v>42876</v>
      </c>
      <c r="E16" s="67">
        <f t="shared" si="1"/>
        <v>6000</v>
      </c>
      <c r="F16" s="67">
        <f>(D16-C16+1)*СтоимДня!$C$2</f>
        <v>6000</v>
      </c>
      <c r="G16" s="50">
        <v>6000</v>
      </c>
      <c r="H16" s="50">
        <v>6000</v>
      </c>
    </row>
    <row r="17" spans="1:11">
      <c r="B17" s="17" t="s">
        <v>76</v>
      </c>
      <c r="C17" s="61">
        <v>42887</v>
      </c>
      <c r="D17" s="61">
        <v>42891</v>
      </c>
      <c r="E17" s="67">
        <f t="shared" si="1"/>
        <v>2500</v>
      </c>
      <c r="F17" s="67">
        <f>(D17-C17+1)*СтоимДня!$C$2</f>
        <v>2500</v>
      </c>
      <c r="G17" s="50">
        <v>2500</v>
      </c>
      <c r="H17" s="50">
        <v>2500</v>
      </c>
    </row>
    <row r="18" spans="1:11">
      <c r="B18" s="17" t="s">
        <v>77</v>
      </c>
      <c r="C18" s="61">
        <v>42907</v>
      </c>
      <c r="D18" s="61">
        <v>42916</v>
      </c>
      <c r="E18" s="67">
        <f t="shared" si="1"/>
        <v>5000</v>
      </c>
      <c r="F18" s="67">
        <f>(D18-C18+1)*СтоимДня!$C$2</f>
        <v>5000</v>
      </c>
      <c r="G18" s="50">
        <v>5000</v>
      </c>
      <c r="H18" s="50">
        <v>5000</v>
      </c>
    </row>
    <row r="19" spans="1:11">
      <c r="E19" s="67"/>
      <c r="F19" s="67"/>
      <c r="J19" s="385" t="s">
        <v>1154</v>
      </c>
    </row>
    <row r="21" spans="1:11" ht="21">
      <c r="A21" s="27" t="s">
        <v>79</v>
      </c>
    </row>
    <row r="22" spans="1:11" ht="19">
      <c r="B22" s="65"/>
      <c r="C22" s="65"/>
      <c r="D22" s="65"/>
      <c r="E22" s="65"/>
      <c r="F22" s="65"/>
      <c r="G22" s="65"/>
      <c r="H22" s="65"/>
    </row>
    <row r="23" spans="1:11">
      <c r="A23" s="401" t="s">
        <v>80</v>
      </c>
      <c r="B23" s="401" t="s">
        <v>81</v>
      </c>
      <c r="C23" s="401" t="s">
        <v>82</v>
      </c>
      <c r="D23" s="401" t="s">
        <v>83</v>
      </c>
      <c r="E23" s="401" t="s">
        <v>84</v>
      </c>
      <c r="F23" s="401" t="s">
        <v>1067</v>
      </c>
      <c r="G23" s="398" t="s">
        <v>85</v>
      </c>
      <c r="H23" s="399"/>
      <c r="I23" s="400"/>
    </row>
    <row r="24" spans="1:11">
      <c r="A24" s="402"/>
      <c r="B24" s="402"/>
      <c r="C24" s="402"/>
      <c r="D24" s="402"/>
      <c r="E24" s="402"/>
      <c r="F24" s="402"/>
      <c r="G24" s="66">
        <v>0.05</v>
      </c>
      <c r="H24" s="66">
        <v>0.1</v>
      </c>
      <c r="I24" s="66">
        <v>0.15</v>
      </c>
      <c r="J24" s="71" t="s">
        <v>1067</v>
      </c>
      <c r="K24" s="71">
        <v>0.15</v>
      </c>
    </row>
    <row r="25" spans="1:11">
      <c r="A25" s="62">
        <v>1</v>
      </c>
      <c r="B25" s="62" t="s">
        <v>86</v>
      </c>
      <c r="C25" s="67">
        <v>2320</v>
      </c>
      <c r="D25" s="62">
        <v>2</v>
      </c>
      <c r="E25" s="286">
        <f>C25*D25</f>
        <v>4640</v>
      </c>
      <c r="F25" s="317">
        <f>E25/[1]КурсДолл!$G$10</f>
        <v>62.728133026902796</v>
      </c>
      <c r="G25" s="317">
        <f>$F25*G$24</f>
        <v>3.1364066513451401</v>
      </c>
      <c r="H25" s="317">
        <f t="shared" ref="H25:I36" si="2">$F25*H$24</f>
        <v>6.2728133026902801</v>
      </c>
      <c r="I25" s="317">
        <f t="shared" si="2"/>
        <v>9.4092199540354198</v>
      </c>
      <c r="J25" s="50">
        <v>62.728133026902796</v>
      </c>
      <c r="K25" s="50">
        <v>9.4092199540354198</v>
      </c>
    </row>
    <row r="26" spans="1:11">
      <c r="A26" s="62">
        <v>2</v>
      </c>
      <c r="B26" s="62" t="s">
        <v>87</v>
      </c>
      <c r="C26" s="67">
        <v>5220</v>
      </c>
      <c r="D26" s="62">
        <v>6</v>
      </c>
      <c r="E26" s="286">
        <f t="shared" ref="E26:E36" si="3">C26*D26</f>
        <v>31320</v>
      </c>
      <c r="F26" s="317">
        <f>E26/[1]КурсДолл!$G$10</f>
        <v>423.41489793159388</v>
      </c>
      <c r="G26" s="317">
        <f t="shared" ref="G26:G36" si="4">$F26*G$24</f>
        <v>21.170744896579695</v>
      </c>
      <c r="H26" s="317">
        <f t="shared" si="2"/>
        <v>42.34148979315939</v>
      </c>
      <c r="I26" s="317">
        <f t="shared" si="2"/>
        <v>63.512234689739081</v>
      </c>
      <c r="J26" s="50">
        <v>423.41489793159388</v>
      </c>
      <c r="K26" s="50">
        <v>63.512234689739081</v>
      </c>
    </row>
    <row r="27" spans="1:11">
      <c r="A27" s="62">
        <v>3</v>
      </c>
      <c r="B27" s="62" t="s">
        <v>88</v>
      </c>
      <c r="C27" s="67">
        <v>928</v>
      </c>
      <c r="D27" s="62">
        <v>5</v>
      </c>
      <c r="E27" s="286">
        <f t="shared" si="3"/>
        <v>4640</v>
      </c>
      <c r="F27" s="317">
        <f>E27/[1]КурсДолл!$G$10</f>
        <v>62.728133026902796</v>
      </c>
      <c r="G27" s="317">
        <f t="shared" si="4"/>
        <v>3.1364066513451401</v>
      </c>
      <c r="H27" s="317">
        <f t="shared" si="2"/>
        <v>6.2728133026902801</v>
      </c>
      <c r="I27" s="317">
        <f t="shared" si="2"/>
        <v>9.4092199540354198</v>
      </c>
      <c r="J27" s="50">
        <v>62.728133026902796</v>
      </c>
      <c r="K27" s="50">
        <v>9.4092199540354198</v>
      </c>
    </row>
    <row r="28" spans="1:11">
      <c r="A28" s="62">
        <v>4</v>
      </c>
      <c r="B28" s="62" t="s">
        <v>89</v>
      </c>
      <c r="C28" s="67">
        <v>14500</v>
      </c>
      <c r="D28" s="62">
        <v>1</v>
      </c>
      <c r="E28" s="286">
        <f t="shared" si="3"/>
        <v>14500</v>
      </c>
      <c r="F28" s="317">
        <f>E28/[1]КурсДолл!$G$10</f>
        <v>196.02541570907124</v>
      </c>
      <c r="G28" s="317">
        <f t="shared" si="4"/>
        <v>9.8012707854535623</v>
      </c>
      <c r="H28" s="317">
        <f t="shared" si="2"/>
        <v>19.602541570907125</v>
      </c>
      <c r="I28" s="317">
        <f t="shared" si="2"/>
        <v>29.403812356360685</v>
      </c>
      <c r="J28" s="50">
        <v>196.02541570907124</v>
      </c>
      <c r="K28" s="50">
        <v>29.403812356360685</v>
      </c>
    </row>
    <row r="29" spans="1:11">
      <c r="A29" s="62">
        <v>5</v>
      </c>
      <c r="B29" s="62" t="s">
        <v>90</v>
      </c>
      <c r="C29" s="67">
        <v>580</v>
      </c>
      <c r="D29" s="62">
        <v>8</v>
      </c>
      <c r="E29" s="286">
        <f t="shared" si="3"/>
        <v>4640</v>
      </c>
      <c r="F29" s="317">
        <f>E29/[1]КурсДолл!$G$10</f>
        <v>62.728133026902796</v>
      </c>
      <c r="G29" s="317">
        <f t="shared" si="4"/>
        <v>3.1364066513451401</v>
      </c>
      <c r="H29" s="317">
        <f t="shared" si="2"/>
        <v>6.2728133026902801</v>
      </c>
      <c r="I29" s="317">
        <f t="shared" si="2"/>
        <v>9.4092199540354198</v>
      </c>
      <c r="J29" s="50">
        <v>62.728133026902796</v>
      </c>
      <c r="K29" s="50">
        <v>9.4092199540354198</v>
      </c>
    </row>
    <row r="30" spans="1:11">
      <c r="A30" s="62">
        <v>6</v>
      </c>
      <c r="B30" s="62" t="s">
        <v>91</v>
      </c>
      <c r="C30" s="67">
        <v>1450</v>
      </c>
      <c r="D30" s="62">
        <v>3</v>
      </c>
      <c r="E30" s="286">
        <f t="shared" si="3"/>
        <v>4350</v>
      </c>
      <c r="F30" s="317">
        <f>E30/[1]КурсДолл!$G$10</f>
        <v>58.807624712721378</v>
      </c>
      <c r="G30" s="317">
        <f t="shared" si="4"/>
        <v>2.9403812356360692</v>
      </c>
      <c r="H30" s="317">
        <f t="shared" si="2"/>
        <v>5.8807624712721385</v>
      </c>
      <c r="I30" s="317">
        <f t="shared" si="2"/>
        <v>8.8211437069082059</v>
      </c>
      <c r="J30" s="50">
        <v>58.807624712721378</v>
      </c>
      <c r="K30" s="50">
        <v>8.8211437069082059</v>
      </c>
    </row>
    <row r="31" spans="1:11">
      <c r="A31" s="62">
        <v>7</v>
      </c>
      <c r="B31" s="62" t="s">
        <v>92</v>
      </c>
      <c r="C31" s="67">
        <v>2610</v>
      </c>
      <c r="D31" s="62">
        <v>10</v>
      </c>
      <c r="E31" s="286">
        <f t="shared" si="3"/>
        <v>26100</v>
      </c>
      <c r="F31" s="317">
        <f>E31/[1]КурсДолл!$G$10</f>
        <v>352.84574827632827</v>
      </c>
      <c r="G31" s="317">
        <f t="shared" si="4"/>
        <v>17.642287413816415</v>
      </c>
      <c r="H31" s="317">
        <f t="shared" si="2"/>
        <v>35.284574827632831</v>
      </c>
      <c r="I31" s="317">
        <f t="shared" si="2"/>
        <v>52.926862241449236</v>
      </c>
      <c r="J31" s="50">
        <v>352.84574827632827</v>
      </c>
      <c r="K31" s="50">
        <v>52.926862241449236</v>
      </c>
    </row>
    <row r="32" spans="1:11">
      <c r="A32" s="62">
        <v>8</v>
      </c>
      <c r="B32" s="62" t="s">
        <v>93</v>
      </c>
      <c r="C32" s="67">
        <v>980</v>
      </c>
      <c r="D32" s="62">
        <v>4</v>
      </c>
      <c r="E32" s="286">
        <f t="shared" si="3"/>
        <v>3920</v>
      </c>
      <c r="F32" s="317">
        <f>E32/[1]КурсДолл!$G$10</f>
        <v>52.994457212383402</v>
      </c>
      <c r="G32" s="317">
        <f t="shared" si="4"/>
        <v>2.6497228606191703</v>
      </c>
      <c r="H32" s="317">
        <f t="shared" si="2"/>
        <v>5.2994457212383406</v>
      </c>
      <c r="I32" s="317">
        <f t="shared" si="2"/>
        <v>7.94916858185751</v>
      </c>
      <c r="J32" s="50">
        <v>52.994457212383402</v>
      </c>
      <c r="K32" s="50">
        <v>7.94916858185751</v>
      </c>
    </row>
    <row r="33" spans="1:11">
      <c r="A33" s="62">
        <v>9</v>
      </c>
      <c r="B33" s="62" t="s">
        <v>94</v>
      </c>
      <c r="C33" s="67">
        <v>9940</v>
      </c>
      <c r="D33" s="62">
        <v>2</v>
      </c>
      <c r="E33" s="286">
        <f t="shared" si="3"/>
        <v>19880</v>
      </c>
      <c r="F33" s="317">
        <f>E33/[1]КурсДолл!$G$10</f>
        <v>268.75760443423007</v>
      </c>
      <c r="G33" s="317">
        <f t="shared" si="4"/>
        <v>13.437880221711504</v>
      </c>
      <c r="H33" s="317">
        <f t="shared" si="2"/>
        <v>26.875760443423008</v>
      </c>
      <c r="I33" s="317">
        <f t="shared" si="2"/>
        <v>40.313640665134507</v>
      </c>
      <c r="J33" s="50">
        <v>268.75760443423007</v>
      </c>
      <c r="K33" s="50">
        <v>40.313640665134507</v>
      </c>
    </row>
    <row r="34" spans="1:11">
      <c r="A34" s="62">
        <v>10</v>
      </c>
      <c r="B34" s="62" t="s">
        <v>95</v>
      </c>
      <c r="C34" s="67">
        <v>1305</v>
      </c>
      <c r="D34" s="62">
        <v>10</v>
      </c>
      <c r="E34" s="286">
        <f t="shared" si="3"/>
        <v>13050</v>
      </c>
      <c r="F34" s="317">
        <f>E34/[1]КурсДолл!$G$10</f>
        <v>176.42287413816413</v>
      </c>
      <c r="G34" s="317">
        <f t="shared" si="4"/>
        <v>8.8211437069082077</v>
      </c>
      <c r="H34" s="317">
        <f t="shared" si="2"/>
        <v>17.642287413816415</v>
      </c>
      <c r="I34" s="317">
        <f t="shared" si="2"/>
        <v>26.463431120724618</v>
      </c>
      <c r="J34" s="50">
        <v>176.42287413816413</v>
      </c>
      <c r="K34" s="50">
        <v>26.463431120724618</v>
      </c>
    </row>
    <row r="35" spans="1:11">
      <c r="A35" s="62">
        <v>11</v>
      </c>
      <c r="B35" s="62" t="s">
        <v>96</v>
      </c>
      <c r="C35" s="67">
        <v>609</v>
      </c>
      <c r="D35" s="62">
        <v>10</v>
      </c>
      <c r="E35" s="286">
        <f t="shared" si="3"/>
        <v>6090</v>
      </c>
      <c r="F35" s="317">
        <f>E35/[1]КурсДолл!$G$10</f>
        <v>82.330674597809917</v>
      </c>
      <c r="G35" s="317">
        <f t="shared" si="4"/>
        <v>4.116533729890496</v>
      </c>
      <c r="H35" s="317">
        <f t="shared" si="2"/>
        <v>8.2330674597809921</v>
      </c>
      <c r="I35" s="317">
        <f t="shared" si="2"/>
        <v>12.349601189671487</v>
      </c>
      <c r="J35" s="50">
        <v>82.330674597809917</v>
      </c>
      <c r="K35" s="50">
        <v>12.349601189671487</v>
      </c>
    </row>
    <row r="36" spans="1:11">
      <c r="A36" s="62">
        <v>12</v>
      </c>
      <c r="B36" s="62" t="s">
        <v>97</v>
      </c>
      <c r="C36" s="67">
        <v>890</v>
      </c>
      <c r="D36" s="62">
        <v>1</v>
      </c>
      <c r="E36" s="286">
        <f t="shared" si="3"/>
        <v>890</v>
      </c>
      <c r="F36" s="317">
        <f>E36/[1]КурсДолл!$G$10</f>
        <v>12.031904826280925</v>
      </c>
      <c r="G36" s="317">
        <f t="shared" si="4"/>
        <v>0.60159524131404629</v>
      </c>
      <c r="H36" s="317">
        <f t="shared" si="2"/>
        <v>1.2031904826280926</v>
      </c>
      <c r="I36" s="317">
        <f t="shared" si="2"/>
        <v>1.8047857239421388</v>
      </c>
      <c r="J36" s="50">
        <v>12.031904826280925</v>
      </c>
      <c r="K36" s="50">
        <v>1.8047857239421388</v>
      </c>
    </row>
    <row r="39" spans="1:11">
      <c r="E39" s="31"/>
      <c r="F39" s="31"/>
      <c r="G39" s="31"/>
      <c r="H39" s="31"/>
      <c r="I39" s="31"/>
      <c r="J39" s="31"/>
      <c r="K39" s="31"/>
    </row>
    <row r="40" spans="1:11">
      <c r="E40" s="31"/>
      <c r="F40" s="31"/>
      <c r="G40" s="31"/>
      <c r="H40" s="31"/>
      <c r="I40" s="31"/>
      <c r="J40" s="31"/>
      <c r="K40" s="31"/>
    </row>
    <row r="41" spans="1:11">
      <c r="E41" s="31"/>
      <c r="F41" s="31"/>
      <c r="G41" s="31"/>
      <c r="H41" s="31"/>
      <c r="I41" s="31"/>
      <c r="J41" s="31"/>
      <c r="K41" s="31"/>
    </row>
    <row r="42" spans="1:11" ht="19">
      <c r="E42" s="381"/>
      <c r="F42" s="381"/>
      <c r="G42" s="381"/>
      <c r="H42" s="381"/>
      <c r="I42" s="381"/>
      <c r="J42" s="381"/>
      <c r="K42" s="31"/>
    </row>
    <row r="66" spans="2:6" ht="16">
      <c r="F66" s="388" t="s">
        <v>1166</v>
      </c>
    </row>
    <row r="67" spans="2:6" ht="16">
      <c r="F67" s="388" t="s">
        <v>1167</v>
      </c>
    </row>
    <row r="69" spans="2:6">
      <c r="F69" t="s">
        <v>1148</v>
      </c>
    </row>
    <row r="70" spans="2:6">
      <c r="F70" t="s">
        <v>1147</v>
      </c>
    </row>
    <row r="72" spans="2:6">
      <c r="F72" s="382" t="s">
        <v>1149</v>
      </c>
    </row>
    <row r="73" spans="2:6">
      <c r="F73" s="382" t="s">
        <v>1151</v>
      </c>
    </row>
    <row r="74" spans="2:6">
      <c r="F74" s="382" t="s">
        <v>1152</v>
      </c>
    </row>
    <row r="75" spans="2:6">
      <c r="B75" s="385" t="s">
        <v>1155</v>
      </c>
      <c r="F75" s="382" t="s">
        <v>1150</v>
      </c>
    </row>
    <row r="76" spans="2:6">
      <c r="F76" s="382" t="s">
        <v>1153</v>
      </c>
    </row>
  </sheetData>
  <mergeCells count="7">
    <mergeCell ref="G23:I23"/>
    <mergeCell ref="E23:E24"/>
    <mergeCell ref="A23:A24"/>
    <mergeCell ref="B23:B24"/>
    <mergeCell ref="C23:C24"/>
    <mergeCell ref="D23:D24"/>
    <mergeCell ref="F23:F24"/>
  </mergeCells>
  <conditionalFormatting sqref="N7">
    <cfRule type="cellIs" dxfId="111" priority="3" operator="equal">
      <formula>"нет"</formula>
    </cfRule>
    <cfRule type="cellIs" dxfId="110" priority="4" operator="equal">
      <formula>"да"</formula>
    </cfRule>
  </conditionalFormatting>
  <conditionalFormatting sqref="L3:L4">
    <cfRule type="cellIs" dxfId="109" priority="5" operator="equal">
      <formula>"нет"</formula>
    </cfRule>
    <cfRule type="cellIs" dxfId="108" priority="6" operator="equal">
      <formula>"да"</formula>
    </cfRule>
  </conditionalFormatting>
  <conditionalFormatting sqref="L5">
    <cfRule type="cellIs" dxfId="107" priority="1" operator="equal">
      <formula>"нет"</formula>
    </cfRule>
    <cfRule type="cellIs" dxfId="106" priority="2" operator="equal">
      <formula>"да"</formula>
    </cfRule>
  </conditionalFormatting>
  <hyperlinks>
    <hyperlink ref="J19" location="'1.2.Ссылки'!B75" display="Подробнее о связях книг" xr:uid="{00000000-0004-0000-0500-000000000000}"/>
    <hyperlink ref="B75" location="'1.2.Ссылки'!A10" display="Назад" xr:uid="{00000000-0004-0000-0500-000001000000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B2:C2"/>
  <sheetViews>
    <sheetView zoomScale="145" zoomScaleNormal="145" workbookViewId="0">
      <selection activeCell="C19" sqref="C19"/>
    </sheetView>
  </sheetViews>
  <sheetFormatPr baseColWidth="10" defaultColWidth="8.83203125" defaultRowHeight="15"/>
  <cols>
    <col min="2" max="4" width="13.83203125" customWidth="1"/>
  </cols>
  <sheetData>
    <row r="2" spans="2:3" ht="32">
      <c r="B2" s="68" t="s">
        <v>71</v>
      </c>
      <c r="C2" s="69">
        <v>500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4:N45"/>
  <sheetViews>
    <sheetView topLeftCell="A7" zoomScale="83" zoomScaleNormal="130" workbookViewId="0">
      <selection activeCell="M39" sqref="M39"/>
    </sheetView>
  </sheetViews>
  <sheetFormatPr baseColWidth="10" defaultColWidth="8.83203125" defaultRowHeight="15"/>
  <sheetData>
    <row r="4" spans="1:14">
      <c r="D4" s="15" t="s">
        <v>101</v>
      </c>
    </row>
    <row r="5" spans="1:14">
      <c r="D5" s="72">
        <v>5</v>
      </c>
    </row>
    <row r="6" spans="1:14">
      <c r="A6" s="404" t="s">
        <v>102</v>
      </c>
      <c r="B6" s="404"/>
      <c r="C6" s="73">
        <v>10</v>
      </c>
      <c r="D6" s="24">
        <f>C6*D5</f>
        <v>50</v>
      </c>
      <c r="E6" s="271">
        <v>50</v>
      </c>
    </row>
    <row r="12" spans="1:14">
      <c r="D12" s="405" t="s">
        <v>101</v>
      </c>
      <c r="E12" s="405"/>
      <c r="F12" s="405"/>
      <c r="G12" s="405"/>
      <c r="H12" s="405"/>
      <c r="I12" s="405"/>
      <c r="J12" s="405"/>
      <c r="K12" s="405"/>
      <c r="L12" s="405"/>
      <c r="M12" s="405"/>
    </row>
    <row r="13" spans="1:14">
      <c r="D13" s="72">
        <v>5</v>
      </c>
      <c r="E13" s="72">
        <v>10</v>
      </c>
      <c r="F13" s="72">
        <v>15</v>
      </c>
      <c r="G13" s="72">
        <v>20</v>
      </c>
      <c r="H13" s="72">
        <v>25</v>
      </c>
      <c r="I13" s="72">
        <v>30</v>
      </c>
      <c r="J13" s="72">
        <v>35</v>
      </c>
      <c r="K13" s="72">
        <v>40</v>
      </c>
      <c r="L13" s="72">
        <v>45</v>
      </c>
      <c r="M13" s="72">
        <v>50</v>
      </c>
      <c r="N13" s="271">
        <v>50</v>
      </c>
    </row>
    <row r="14" spans="1:14">
      <c r="A14" s="404" t="s">
        <v>102</v>
      </c>
      <c r="B14" s="404"/>
      <c r="C14" s="73">
        <v>10</v>
      </c>
      <c r="D14" s="24">
        <f>$C$14*D$13</f>
        <v>50</v>
      </c>
      <c r="E14" s="24">
        <f t="shared" ref="E14:M14" si="0">$C$14*E$13</f>
        <v>100</v>
      </c>
      <c r="F14" s="24">
        <f t="shared" si="0"/>
        <v>150</v>
      </c>
      <c r="G14" s="24">
        <f t="shared" si="0"/>
        <v>200</v>
      </c>
      <c r="H14" s="24">
        <f t="shared" si="0"/>
        <v>250</v>
      </c>
      <c r="I14" s="24">
        <f t="shared" si="0"/>
        <v>300</v>
      </c>
      <c r="J14" s="24">
        <f t="shared" si="0"/>
        <v>350</v>
      </c>
      <c r="K14" s="24">
        <f t="shared" si="0"/>
        <v>400</v>
      </c>
      <c r="L14" s="24">
        <f t="shared" si="0"/>
        <v>450</v>
      </c>
      <c r="M14" s="24">
        <f t="shared" si="0"/>
        <v>500</v>
      </c>
      <c r="N14" s="271">
        <v>500</v>
      </c>
    </row>
    <row r="16" spans="1:14" ht="16">
      <c r="H16" s="51" t="s">
        <v>59</v>
      </c>
      <c r="I16" s="52"/>
      <c r="J16" s="53" t="s">
        <v>60</v>
      </c>
      <c r="K16" s="52">
        <v>4</v>
      </c>
    </row>
    <row r="17" spans="2:13">
      <c r="H17" s="54"/>
      <c r="I17" s="54"/>
      <c r="J17" s="54"/>
      <c r="K17" s="54"/>
    </row>
    <row r="18" spans="2:13">
      <c r="D18" s="74" t="s">
        <v>101</v>
      </c>
      <c r="H18" s="55" t="s">
        <v>992</v>
      </c>
      <c r="I18" s="56"/>
      <c r="J18" s="56"/>
      <c r="K18" s="57" t="str">
        <f t="array" ref="K18">IF(SUM(COUNTIF(D6,E6))=1,"ДА","НЕТ")</f>
        <v>ДА</v>
      </c>
    </row>
    <row r="19" spans="2:13">
      <c r="D19" s="72">
        <v>5</v>
      </c>
      <c r="H19" s="55" t="s">
        <v>993</v>
      </c>
      <c r="I19" s="56"/>
      <c r="J19" s="56"/>
      <c r="K19" s="57" t="str">
        <f t="array" ref="K19">IF(SUM(COUNTIF(M13:M14,N13:N14))=2,"ДА","НЕТ")</f>
        <v>ДА</v>
      </c>
    </row>
    <row r="20" spans="2:13">
      <c r="B20" s="403" t="s">
        <v>102</v>
      </c>
      <c r="C20" s="73">
        <v>10</v>
      </c>
      <c r="D20" s="24">
        <f>$D$19*C20</f>
        <v>50</v>
      </c>
      <c r="E20" s="271">
        <v>50</v>
      </c>
      <c r="H20" s="55" t="s">
        <v>994</v>
      </c>
      <c r="I20" s="55"/>
      <c r="J20" s="55"/>
      <c r="K20" s="57" t="str">
        <f t="array" ref="K20">IF(SUM(COUNTIF(D20:D29,E20:E29))=10,"ДА","НЕТ")</f>
        <v>ДА</v>
      </c>
    </row>
    <row r="21" spans="2:13">
      <c r="B21" s="403"/>
      <c r="C21" s="73">
        <v>20</v>
      </c>
      <c r="D21" s="24">
        <f t="shared" ref="D21:D29" si="1">$D$19*C21</f>
        <v>100</v>
      </c>
      <c r="E21" s="271">
        <v>100</v>
      </c>
      <c r="H21" s="55" t="s">
        <v>995</v>
      </c>
      <c r="I21" s="55"/>
      <c r="J21" s="55"/>
      <c r="K21" s="57" t="str">
        <f t="array" ref="K21">IF(SUM(COUNTIF(M35:M45,N35:N45))=11,"ДА","НЕТ")</f>
        <v>ДА</v>
      </c>
    </row>
    <row r="22" spans="2:13" ht="16">
      <c r="B22" s="403"/>
      <c r="C22" s="73">
        <v>30</v>
      </c>
      <c r="D22" s="24">
        <f t="shared" si="1"/>
        <v>150</v>
      </c>
      <c r="E22" s="271">
        <v>150</v>
      </c>
      <c r="H22" s="58" t="s">
        <v>100</v>
      </c>
      <c r="I22" s="59"/>
      <c r="J22" s="59"/>
      <c r="K22" s="59"/>
      <c r="L22" s="60" t="s">
        <v>65</v>
      </c>
      <c r="M22" s="57" t="str">
        <f t="array" ref="M22">IF(COUNTA(K18:K21)=COUNTIF(K18:K21,"ДА"),"ДА","НЕТ")</f>
        <v>ДА</v>
      </c>
    </row>
    <row r="23" spans="2:13">
      <c r="B23" s="403"/>
      <c r="C23" s="73">
        <v>40</v>
      </c>
      <c r="D23" s="24">
        <f t="shared" si="1"/>
        <v>200</v>
      </c>
      <c r="E23" s="271">
        <v>200</v>
      </c>
    </row>
    <row r="24" spans="2:13">
      <c r="B24" s="403"/>
      <c r="C24" s="73">
        <v>50</v>
      </c>
      <c r="D24" s="24">
        <f t="shared" si="1"/>
        <v>250</v>
      </c>
      <c r="E24" s="271">
        <v>250</v>
      </c>
    </row>
    <row r="25" spans="2:13">
      <c r="B25" s="403"/>
      <c r="C25" s="73">
        <v>60</v>
      </c>
      <c r="D25" s="24">
        <f t="shared" si="1"/>
        <v>300</v>
      </c>
      <c r="E25" s="271">
        <v>300</v>
      </c>
    </row>
    <row r="26" spans="2:13">
      <c r="B26" s="403"/>
      <c r="C26" s="73">
        <v>70</v>
      </c>
      <c r="D26" s="24">
        <f t="shared" si="1"/>
        <v>350</v>
      </c>
      <c r="E26" s="271">
        <v>350</v>
      </c>
    </row>
    <row r="27" spans="2:13">
      <c r="B27" s="403"/>
      <c r="C27" s="73">
        <v>80</v>
      </c>
      <c r="D27" s="24">
        <f t="shared" si="1"/>
        <v>400</v>
      </c>
      <c r="E27" s="271">
        <v>400</v>
      </c>
    </row>
    <row r="28" spans="2:13">
      <c r="B28" s="403"/>
      <c r="C28" s="73">
        <v>90</v>
      </c>
      <c r="D28" s="24">
        <f t="shared" si="1"/>
        <v>450</v>
      </c>
      <c r="E28" s="271">
        <v>450</v>
      </c>
    </row>
    <row r="29" spans="2:13">
      <c r="B29" s="403"/>
      <c r="C29" s="73">
        <v>100</v>
      </c>
      <c r="D29" s="24">
        <f t="shared" si="1"/>
        <v>500</v>
      </c>
      <c r="E29" s="271">
        <v>500</v>
      </c>
    </row>
    <row r="34" spans="2:14">
      <c r="D34" s="405" t="s">
        <v>101</v>
      </c>
      <c r="E34" s="405"/>
      <c r="F34" s="405"/>
      <c r="G34" s="405"/>
      <c r="H34" s="405"/>
      <c r="I34" s="405"/>
      <c r="J34" s="405"/>
      <c r="K34" s="405"/>
      <c r="L34" s="405"/>
      <c r="M34" s="405"/>
    </row>
    <row r="35" spans="2:14">
      <c r="D35" s="72">
        <v>5</v>
      </c>
      <c r="E35" s="72">
        <v>10</v>
      </c>
      <c r="F35" s="72">
        <v>15</v>
      </c>
      <c r="G35" s="72">
        <v>20</v>
      </c>
      <c r="H35" s="72">
        <v>25</v>
      </c>
      <c r="I35" s="72">
        <v>30</v>
      </c>
      <c r="J35" s="72">
        <v>35</v>
      </c>
      <c r="K35" s="72">
        <v>40</v>
      </c>
      <c r="L35" s="72">
        <v>45</v>
      </c>
      <c r="M35" s="72">
        <v>50</v>
      </c>
      <c r="N35" s="271">
        <v>50</v>
      </c>
    </row>
    <row r="36" spans="2:14">
      <c r="B36" s="403" t="s">
        <v>102</v>
      </c>
      <c r="C36" s="73">
        <v>10</v>
      </c>
      <c r="D36" s="24">
        <f>$C36*D$35</f>
        <v>50</v>
      </c>
      <c r="E36" s="24">
        <f t="shared" ref="E36:M36" si="2">$C36*E$35</f>
        <v>100</v>
      </c>
      <c r="F36" s="24">
        <f t="shared" si="2"/>
        <v>150</v>
      </c>
      <c r="G36" s="24">
        <f t="shared" si="2"/>
        <v>200</v>
      </c>
      <c r="H36" s="24">
        <f t="shared" si="2"/>
        <v>250</v>
      </c>
      <c r="I36" s="24">
        <f t="shared" si="2"/>
        <v>300</v>
      </c>
      <c r="J36" s="24">
        <f t="shared" si="2"/>
        <v>350</v>
      </c>
      <c r="K36" s="24">
        <f t="shared" si="2"/>
        <v>400</v>
      </c>
      <c r="L36" s="24">
        <f t="shared" si="2"/>
        <v>450</v>
      </c>
      <c r="M36" s="24">
        <f t="shared" si="2"/>
        <v>500</v>
      </c>
      <c r="N36" s="271">
        <v>500</v>
      </c>
    </row>
    <row r="37" spans="2:14">
      <c r="B37" s="403"/>
      <c r="C37" s="73">
        <v>20</v>
      </c>
      <c r="D37" s="24">
        <f t="shared" ref="D37:M45" si="3">$C37*D$35</f>
        <v>100</v>
      </c>
      <c r="E37" s="24">
        <f t="shared" si="3"/>
        <v>200</v>
      </c>
      <c r="F37" s="24">
        <f t="shared" si="3"/>
        <v>300</v>
      </c>
      <c r="G37" s="24">
        <f t="shared" si="3"/>
        <v>400</v>
      </c>
      <c r="H37" s="24">
        <f t="shared" si="3"/>
        <v>500</v>
      </c>
      <c r="I37" s="24">
        <f t="shared" si="3"/>
        <v>600</v>
      </c>
      <c r="J37" s="24">
        <f t="shared" si="3"/>
        <v>700</v>
      </c>
      <c r="K37" s="24">
        <f t="shared" si="3"/>
        <v>800</v>
      </c>
      <c r="L37" s="24">
        <f t="shared" si="3"/>
        <v>900</v>
      </c>
      <c r="M37" s="24">
        <f t="shared" si="3"/>
        <v>1000</v>
      </c>
      <c r="N37" s="271">
        <v>1000</v>
      </c>
    </row>
    <row r="38" spans="2:14">
      <c r="B38" s="403"/>
      <c r="C38" s="73">
        <v>30</v>
      </c>
      <c r="D38" s="24">
        <f t="shared" si="3"/>
        <v>150</v>
      </c>
      <c r="E38" s="24">
        <f t="shared" si="3"/>
        <v>300</v>
      </c>
      <c r="F38" s="24">
        <f t="shared" si="3"/>
        <v>450</v>
      </c>
      <c r="G38" s="24">
        <f t="shared" si="3"/>
        <v>600</v>
      </c>
      <c r="H38" s="24">
        <f t="shared" si="3"/>
        <v>750</v>
      </c>
      <c r="I38" s="24">
        <f t="shared" si="3"/>
        <v>900</v>
      </c>
      <c r="J38" s="24">
        <f t="shared" si="3"/>
        <v>1050</v>
      </c>
      <c r="K38" s="24">
        <f t="shared" si="3"/>
        <v>1200</v>
      </c>
      <c r="L38" s="24">
        <f t="shared" si="3"/>
        <v>1350</v>
      </c>
      <c r="M38" s="24">
        <f t="shared" si="3"/>
        <v>1500</v>
      </c>
      <c r="N38" s="271">
        <v>1500</v>
      </c>
    </row>
    <row r="39" spans="2:14">
      <c r="B39" s="403"/>
      <c r="C39" s="73">
        <v>40</v>
      </c>
      <c r="D39" s="24">
        <f t="shared" si="3"/>
        <v>200</v>
      </c>
      <c r="E39" s="24">
        <f t="shared" si="3"/>
        <v>400</v>
      </c>
      <c r="F39" s="24">
        <f t="shared" si="3"/>
        <v>600</v>
      </c>
      <c r="G39" s="24">
        <f t="shared" si="3"/>
        <v>800</v>
      </c>
      <c r="H39" s="24">
        <f t="shared" si="3"/>
        <v>1000</v>
      </c>
      <c r="I39" s="24">
        <f t="shared" si="3"/>
        <v>1200</v>
      </c>
      <c r="J39" s="24">
        <f t="shared" si="3"/>
        <v>1400</v>
      </c>
      <c r="K39" s="24">
        <f t="shared" si="3"/>
        <v>1600</v>
      </c>
      <c r="L39" s="24">
        <f t="shared" si="3"/>
        <v>1800</v>
      </c>
      <c r="M39" s="24">
        <f t="shared" si="3"/>
        <v>2000</v>
      </c>
      <c r="N39" s="271">
        <v>2000</v>
      </c>
    </row>
    <row r="40" spans="2:14">
      <c r="B40" s="403"/>
      <c r="C40" s="73">
        <v>50</v>
      </c>
      <c r="D40" s="24">
        <f t="shared" si="3"/>
        <v>250</v>
      </c>
      <c r="E40" s="24">
        <f t="shared" si="3"/>
        <v>500</v>
      </c>
      <c r="F40" s="24">
        <f t="shared" si="3"/>
        <v>750</v>
      </c>
      <c r="G40" s="24">
        <f t="shared" si="3"/>
        <v>1000</v>
      </c>
      <c r="H40" s="24">
        <f t="shared" si="3"/>
        <v>1250</v>
      </c>
      <c r="I40" s="24">
        <f t="shared" si="3"/>
        <v>1500</v>
      </c>
      <c r="J40" s="24">
        <f t="shared" si="3"/>
        <v>1750</v>
      </c>
      <c r="K40" s="24">
        <f t="shared" si="3"/>
        <v>2000</v>
      </c>
      <c r="L40" s="24">
        <f t="shared" si="3"/>
        <v>2250</v>
      </c>
      <c r="M40" s="24">
        <f t="shared" si="3"/>
        <v>2500</v>
      </c>
      <c r="N40" s="271">
        <v>2500</v>
      </c>
    </row>
    <row r="41" spans="2:14">
      <c r="B41" s="403"/>
      <c r="C41" s="73">
        <v>60</v>
      </c>
      <c r="D41" s="24">
        <f t="shared" si="3"/>
        <v>300</v>
      </c>
      <c r="E41" s="24">
        <f t="shared" si="3"/>
        <v>600</v>
      </c>
      <c r="F41" s="24">
        <f t="shared" si="3"/>
        <v>900</v>
      </c>
      <c r="G41" s="24">
        <f t="shared" si="3"/>
        <v>1200</v>
      </c>
      <c r="H41" s="24">
        <f t="shared" si="3"/>
        <v>1500</v>
      </c>
      <c r="I41" s="24">
        <f t="shared" si="3"/>
        <v>1800</v>
      </c>
      <c r="J41" s="24">
        <f t="shared" si="3"/>
        <v>2100</v>
      </c>
      <c r="K41" s="24">
        <f t="shared" si="3"/>
        <v>2400</v>
      </c>
      <c r="L41" s="24">
        <f t="shared" si="3"/>
        <v>2700</v>
      </c>
      <c r="M41" s="24">
        <f t="shared" si="3"/>
        <v>3000</v>
      </c>
      <c r="N41" s="271">
        <v>3000</v>
      </c>
    </row>
    <row r="42" spans="2:14">
      <c r="B42" s="403"/>
      <c r="C42" s="73">
        <v>70</v>
      </c>
      <c r="D42" s="24">
        <f t="shared" si="3"/>
        <v>350</v>
      </c>
      <c r="E42" s="24">
        <f t="shared" si="3"/>
        <v>700</v>
      </c>
      <c r="F42" s="24">
        <f t="shared" si="3"/>
        <v>1050</v>
      </c>
      <c r="G42" s="24">
        <f t="shared" si="3"/>
        <v>1400</v>
      </c>
      <c r="H42" s="24">
        <f t="shared" si="3"/>
        <v>1750</v>
      </c>
      <c r="I42" s="24">
        <f t="shared" si="3"/>
        <v>2100</v>
      </c>
      <c r="J42" s="24">
        <f t="shared" si="3"/>
        <v>2450</v>
      </c>
      <c r="K42" s="24">
        <f t="shared" si="3"/>
        <v>2800</v>
      </c>
      <c r="L42" s="24">
        <f t="shared" si="3"/>
        <v>3150</v>
      </c>
      <c r="M42" s="24">
        <f t="shared" si="3"/>
        <v>3500</v>
      </c>
      <c r="N42" s="271">
        <v>3500</v>
      </c>
    </row>
    <row r="43" spans="2:14">
      <c r="B43" s="403"/>
      <c r="C43" s="73">
        <v>80</v>
      </c>
      <c r="D43" s="24">
        <f t="shared" si="3"/>
        <v>400</v>
      </c>
      <c r="E43" s="24">
        <f t="shared" si="3"/>
        <v>800</v>
      </c>
      <c r="F43" s="24">
        <f t="shared" si="3"/>
        <v>1200</v>
      </c>
      <c r="G43" s="24">
        <f t="shared" si="3"/>
        <v>1600</v>
      </c>
      <c r="H43" s="24">
        <f t="shared" si="3"/>
        <v>2000</v>
      </c>
      <c r="I43" s="24">
        <f t="shared" si="3"/>
        <v>2400</v>
      </c>
      <c r="J43" s="24">
        <f t="shared" si="3"/>
        <v>2800</v>
      </c>
      <c r="K43" s="24">
        <f t="shared" si="3"/>
        <v>3200</v>
      </c>
      <c r="L43" s="24">
        <f t="shared" si="3"/>
        <v>3600</v>
      </c>
      <c r="M43" s="24">
        <f t="shared" si="3"/>
        <v>4000</v>
      </c>
      <c r="N43" s="271">
        <v>4000</v>
      </c>
    </row>
    <row r="44" spans="2:14">
      <c r="B44" s="403"/>
      <c r="C44" s="73">
        <v>90</v>
      </c>
      <c r="D44" s="24">
        <f t="shared" si="3"/>
        <v>450</v>
      </c>
      <c r="E44" s="24">
        <f t="shared" si="3"/>
        <v>900</v>
      </c>
      <c r="F44" s="24">
        <f t="shared" si="3"/>
        <v>1350</v>
      </c>
      <c r="G44" s="24">
        <f t="shared" si="3"/>
        <v>1800</v>
      </c>
      <c r="H44" s="24">
        <f t="shared" si="3"/>
        <v>2250</v>
      </c>
      <c r="I44" s="24">
        <f t="shared" si="3"/>
        <v>2700</v>
      </c>
      <c r="J44" s="24">
        <f t="shared" si="3"/>
        <v>3150</v>
      </c>
      <c r="K44" s="24">
        <f t="shared" si="3"/>
        <v>3600</v>
      </c>
      <c r="L44" s="24">
        <f t="shared" si="3"/>
        <v>4050</v>
      </c>
      <c r="M44" s="24">
        <f t="shared" si="3"/>
        <v>4500</v>
      </c>
      <c r="N44" s="271">
        <v>4500</v>
      </c>
    </row>
    <row r="45" spans="2:14">
      <c r="B45" s="403"/>
      <c r="C45" s="73">
        <v>100</v>
      </c>
      <c r="D45" s="24">
        <f t="shared" si="3"/>
        <v>500</v>
      </c>
      <c r="E45" s="24">
        <f t="shared" si="3"/>
        <v>1000</v>
      </c>
      <c r="F45" s="24">
        <f t="shared" si="3"/>
        <v>1500</v>
      </c>
      <c r="G45" s="24">
        <f t="shared" si="3"/>
        <v>2000</v>
      </c>
      <c r="H45" s="24">
        <f t="shared" si="3"/>
        <v>2500</v>
      </c>
      <c r="I45" s="24">
        <f t="shared" si="3"/>
        <v>3000</v>
      </c>
      <c r="J45" s="24">
        <f t="shared" si="3"/>
        <v>3500</v>
      </c>
      <c r="K45" s="24">
        <f t="shared" si="3"/>
        <v>4000</v>
      </c>
      <c r="L45" s="24">
        <f t="shared" si="3"/>
        <v>4500</v>
      </c>
      <c r="M45" s="24">
        <f t="shared" si="3"/>
        <v>5000</v>
      </c>
      <c r="N45" s="271">
        <v>5000</v>
      </c>
    </row>
  </sheetData>
  <mergeCells count="6">
    <mergeCell ref="B36:B45"/>
    <mergeCell ref="A6:B6"/>
    <mergeCell ref="D12:M12"/>
    <mergeCell ref="A14:B14"/>
    <mergeCell ref="B20:B29"/>
    <mergeCell ref="D34:M34"/>
  </mergeCells>
  <conditionalFormatting sqref="M22">
    <cfRule type="cellIs" dxfId="105" priority="9" operator="equal">
      <formula>"нет"</formula>
    </cfRule>
    <cfRule type="cellIs" dxfId="104" priority="10" operator="equal">
      <formula>"да"</formula>
    </cfRule>
  </conditionalFormatting>
  <conditionalFormatting sqref="K18:K19">
    <cfRule type="cellIs" dxfId="103" priority="11" operator="equal">
      <formula>"нет"</formula>
    </cfRule>
    <cfRule type="cellIs" dxfId="102" priority="12" operator="equal">
      <formula>"да"</formula>
    </cfRule>
  </conditionalFormatting>
  <conditionalFormatting sqref="K20">
    <cfRule type="cellIs" dxfId="101" priority="3" operator="equal">
      <formula>"нет"</formula>
    </cfRule>
    <cfRule type="cellIs" dxfId="100" priority="4" operator="equal">
      <formula>"да"</formula>
    </cfRule>
  </conditionalFormatting>
  <conditionalFormatting sqref="K21">
    <cfRule type="cellIs" dxfId="99" priority="1" operator="equal">
      <formula>"нет"</formula>
    </cfRule>
    <cfRule type="cellIs" dxfId="98" priority="2" operator="equal">
      <formula>"да"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0.59999389629810485"/>
  </sheetPr>
  <dimension ref="E8:N25"/>
  <sheetViews>
    <sheetView showGridLines="0" workbookViewId="0">
      <selection activeCell="F11" sqref="F11"/>
    </sheetView>
  </sheetViews>
  <sheetFormatPr baseColWidth="10" defaultColWidth="8.83203125" defaultRowHeight="15"/>
  <sheetData>
    <row r="8" spans="5:14">
      <c r="E8" s="75"/>
      <c r="F8" s="76"/>
      <c r="G8" s="76"/>
      <c r="H8" s="76"/>
      <c r="I8" s="76"/>
      <c r="J8" s="76"/>
      <c r="K8" s="76"/>
      <c r="L8" s="76"/>
      <c r="M8" s="76"/>
      <c r="N8" s="77"/>
    </row>
    <row r="9" spans="5:14" ht="29">
      <c r="E9" s="78" t="s">
        <v>104</v>
      </c>
      <c r="F9" s="31"/>
      <c r="G9" s="31"/>
      <c r="H9" s="31"/>
      <c r="I9" s="31"/>
      <c r="J9" s="31"/>
      <c r="K9" s="31"/>
      <c r="L9" s="31"/>
      <c r="M9" s="31"/>
      <c r="N9" s="79"/>
    </row>
    <row r="10" spans="5:14" ht="19">
      <c r="E10" s="80"/>
      <c r="F10" s="31"/>
      <c r="G10" s="31"/>
      <c r="H10" s="31"/>
      <c r="I10" s="31"/>
      <c r="J10" s="31"/>
      <c r="K10" s="31"/>
      <c r="L10" s="31"/>
      <c r="M10" s="31"/>
      <c r="N10" s="79"/>
    </row>
    <row r="11" spans="5:14" ht="29">
      <c r="E11" s="78" t="s">
        <v>103</v>
      </c>
      <c r="F11" s="31"/>
      <c r="G11" s="31"/>
      <c r="H11" s="31"/>
      <c r="I11" s="31"/>
      <c r="J11" s="31"/>
      <c r="K11" s="31"/>
      <c r="L11" s="31"/>
      <c r="M11" s="31"/>
      <c r="N11" s="79"/>
    </row>
    <row r="12" spans="5:14">
      <c r="E12" s="81"/>
      <c r="F12" s="31"/>
      <c r="G12" s="31"/>
      <c r="H12" s="31"/>
      <c r="I12" s="31"/>
      <c r="J12" s="31"/>
      <c r="K12" s="31"/>
      <c r="L12" s="31"/>
      <c r="M12" s="31"/>
      <c r="N12" s="79"/>
    </row>
    <row r="13" spans="5:14">
      <c r="E13" s="82"/>
      <c r="F13" s="83"/>
      <c r="G13" s="83"/>
      <c r="H13" s="83"/>
      <c r="I13" s="83"/>
      <c r="J13" s="83"/>
      <c r="K13" s="83"/>
      <c r="L13" s="83"/>
      <c r="M13" s="83"/>
      <c r="N13" s="84"/>
    </row>
    <row r="17" spans="5:10" ht="16">
      <c r="E17" s="58" t="s">
        <v>288</v>
      </c>
      <c r="F17" s="59"/>
      <c r="G17" s="59"/>
      <c r="H17" s="59"/>
      <c r="I17" s="60" t="s">
        <v>65</v>
      </c>
      <c r="J17" s="57" t="str">
        <f>IF(COUNTA(Имен_ячейки!O12,Имен_диапазоны!P3,ИменаVsСмешСсыл!Q3)=COUNTIF(Имен_ячейки!O12,"ДА")+COUNTIF(Имен_диапазоны!P3,"ДА")+COUNTIF(ИменаVsСмешСсыл!Q3,"ДА"),"ДА","НЕТ")</f>
        <v>ДА</v>
      </c>
    </row>
    <row r="25" spans="5:10">
      <c r="E25" t="s">
        <v>1128</v>
      </c>
    </row>
  </sheetData>
  <conditionalFormatting sqref="J17">
    <cfRule type="cellIs" dxfId="97" priority="1" operator="equal">
      <formula>"нет"</formula>
    </cfRule>
    <cfRule type="cellIs" dxfId="96" priority="2" operator="equal">
      <formula>"да"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39997558519241921"/>
  </sheetPr>
  <dimension ref="A1:R51"/>
  <sheetViews>
    <sheetView showGridLines="0" topLeftCell="E5" zoomScale="115" zoomScaleNormal="115" workbookViewId="0">
      <selection activeCell="M2" sqref="M2"/>
    </sheetView>
  </sheetViews>
  <sheetFormatPr baseColWidth="10" defaultColWidth="9.1640625" defaultRowHeight="15"/>
  <cols>
    <col min="1" max="1" width="3.5" style="86" bestFit="1" customWidth="1"/>
    <col min="2" max="2" width="16.6640625" style="86" bestFit="1" customWidth="1"/>
    <col min="3" max="3" width="12.33203125" style="86" bestFit="1" customWidth="1"/>
    <col min="4" max="4" width="13.6640625" style="86" bestFit="1" customWidth="1"/>
    <col min="5" max="5" width="11.83203125" style="94" customWidth="1"/>
    <col min="6" max="6" width="12" style="94" customWidth="1"/>
    <col min="7" max="7" width="12" style="92" customWidth="1"/>
    <col min="8" max="8" width="12.1640625" style="92" bestFit="1" customWidth="1"/>
    <col min="9" max="9" width="14.83203125" style="92" bestFit="1" customWidth="1"/>
    <col min="10" max="10" width="14" style="92" bestFit="1" customWidth="1"/>
    <col min="11" max="11" width="9.1640625" style="86"/>
    <col min="12" max="12" width="13.6640625" style="86" bestFit="1" customWidth="1"/>
    <col min="13" max="13" width="15.1640625" style="86" customWidth="1"/>
    <col min="14" max="14" width="15" style="86" customWidth="1"/>
    <col min="15" max="16384" width="9.1640625" style="86"/>
  </cols>
  <sheetData>
    <row r="1" spans="1:18" ht="16">
      <c r="A1" s="85" t="s">
        <v>80</v>
      </c>
      <c r="B1" s="85" t="s">
        <v>105</v>
      </c>
      <c r="C1" s="85" t="s">
        <v>106</v>
      </c>
      <c r="D1" s="85" t="s">
        <v>107</v>
      </c>
      <c r="E1" s="93" t="s">
        <v>108</v>
      </c>
      <c r="F1" s="93" t="s">
        <v>109</v>
      </c>
      <c r="G1" s="85" t="s">
        <v>110</v>
      </c>
      <c r="H1" s="85" t="s">
        <v>111</v>
      </c>
      <c r="I1" s="85" t="s">
        <v>112</v>
      </c>
      <c r="J1" s="85" t="s">
        <v>113</v>
      </c>
      <c r="L1" s="85" t="s">
        <v>114</v>
      </c>
      <c r="M1" s="87">
        <v>0.45</v>
      </c>
    </row>
    <row r="2" spans="1:18" ht="16">
      <c r="A2" s="88">
        <v>1</v>
      </c>
      <c r="B2" s="88" t="s">
        <v>52</v>
      </c>
      <c r="C2" s="88" t="s">
        <v>115</v>
      </c>
      <c r="D2" s="88" t="s">
        <v>116</v>
      </c>
      <c r="E2" s="95">
        <v>1510</v>
      </c>
      <c r="F2" s="272">
        <f>E2*$M$1</f>
        <v>679.5</v>
      </c>
      <c r="G2" s="272">
        <f>(E2+F2)*$M$2</f>
        <v>284.63499999999999</v>
      </c>
      <c r="H2" s="272">
        <f>(E2+F2)-G2</f>
        <v>1904.865</v>
      </c>
      <c r="I2" s="275">
        <f>H2*$M$4</f>
        <v>171437.85</v>
      </c>
      <c r="J2" s="276">
        <f>I2/$M$3</f>
        <v>2285.8380000000002</v>
      </c>
      <c r="L2" s="85" t="s">
        <v>1085</v>
      </c>
      <c r="M2" s="87">
        <v>0.13</v>
      </c>
    </row>
    <row r="3" spans="1:18" ht="16">
      <c r="A3" s="88">
        <v>2</v>
      </c>
      <c r="B3" s="88" t="s">
        <v>117</v>
      </c>
      <c r="C3" s="88" t="s">
        <v>118</v>
      </c>
      <c r="D3" s="88" t="s">
        <v>119</v>
      </c>
      <c r="E3" s="95">
        <v>5440</v>
      </c>
      <c r="F3" s="272">
        <f t="shared" ref="F3:F51" si="0">E3*$M$1</f>
        <v>2448</v>
      </c>
      <c r="G3" s="272">
        <f t="shared" ref="G3:G51" si="1">(E3+F3)*$M$2</f>
        <v>1025.44</v>
      </c>
      <c r="H3" s="272">
        <f t="shared" ref="H3:H51" si="2">(E3+F3)-G3</f>
        <v>6862.5599999999995</v>
      </c>
      <c r="I3" s="275">
        <f t="shared" ref="I3:I51" si="3">H3*$M$4</f>
        <v>617630.39999999991</v>
      </c>
      <c r="J3" s="276">
        <f t="shared" ref="J3:J51" si="4">I3/$M$3</f>
        <v>8235.0719999999983</v>
      </c>
      <c r="L3" s="85" t="s">
        <v>233</v>
      </c>
      <c r="M3" s="88">
        <v>75</v>
      </c>
    </row>
    <row r="4" spans="1:18">
      <c r="A4" s="88">
        <v>3</v>
      </c>
      <c r="B4" s="88" t="s">
        <v>120</v>
      </c>
      <c r="C4" s="88" t="s">
        <v>121</v>
      </c>
      <c r="D4" s="88" t="s">
        <v>122</v>
      </c>
      <c r="E4" s="95">
        <v>2050</v>
      </c>
      <c r="F4" s="272">
        <f t="shared" si="0"/>
        <v>922.5</v>
      </c>
      <c r="G4" s="272">
        <f t="shared" si="1"/>
        <v>386.42500000000001</v>
      </c>
      <c r="H4" s="272">
        <f t="shared" si="2"/>
        <v>2586.0749999999998</v>
      </c>
      <c r="I4" s="275">
        <f t="shared" si="3"/>
        <v>232746.74999999997</v>
      </c>
      <c r="J4" s="276">
        <f t="shared" si="4"/>
        <v>3103.2899999999995</v>
      </c>
      <c r="L4" s="89" t="s">
        <v>234</v>
      </c>
      <c r="M4" s="88">
        <v>90</v>
      </c>
    </row>
    <row r="5" spans="1:18">
      <c r="A5" s="88">
        <v>4</v>
      </c>
      <c r="B5" s="88" t="s">
        <v>51</v>
      </c>
      <c r="C5" s="88" t="s">
        <v>123</v>
      </c>
      <c r="D5" s="88" t="s">
        <v>124</v>
      </c>
      <c r="E5" s="95">
        <v>1800</v>
      </c>
      <c r="F5" s="272">
        <f t="shared" si="0"/>
        <v>810</v>
      </c>
      <c r="G5" s="272">
        <f t="shared" si="1"/>
        <v>339.3</v>
      </c>
      <c r="H5" s="272">
        <f t="shared" si="2"/>
        <v>2270.6999999999998</v>
      </c>
      <c r="I5" s="275">
        <f t="shared" si="3"/>
        <v>204362.99999999997</v>
      </c>
      <c r="J5" s="276">
        <f t="shared" si="4"/>
        <v>2724.8399999999997</v>
      </c>
    </row>
    <row r="6" spans="1:18">
      <c r="A6" s="88">
        <v>5</v>
      </c>
      <c r="B6" s="88" t="s">
        <v>50</v>
      </c>
      <c r="C6" s="88" t="s">
        <v>125</v>
      </c>
      <c r="D6" s="88" t="s">
        <v>126</v>
      </c>
      <c r="E6" s="95">
        <v>5750</v>
      </c>
      <c r="F6" s="272">
        <f t="shared" si="0"/>
        <v>2587.5</v>
      </c>
      <c r="G6" s="272">
        <f t="shared" si="1"/>
        <v>1083.875</v>
      </c>
      <c r="H6" s="272">
        <f t="shared" si="2"/>
        <v>7253.625</v>
      </c>
      <c r="I6" s="275">
        <f t="shared" si="3"/>
        <v>652826.25</v>
      </c>
      <c r="J6" s="276">
        <f t="shared" si="4"/>
        <v>8704.35</v>
      </c>
    </row>
    <row r="7" spans="1:18" ht="16">
      <c r="A7" s="88">
        <v>6</v>
      </c>
      <c r="B7" s="88" t="s">
        <v>127</v>
      </c>
      <c r="C7" s="88" t="s">
        <v>128</v>
      </c>
      <c r="D7" s="88" t="s">
        <v>129</v>
      </c>
      <c r="E7" s="95">
        <v>4000</v>
      </c>
      <c r="F7" s="272">
        <f t="shared" si="0"/>
        <v>1800</v>
      </c>
      <c r="G7" s="272">
        <f t="shared" si="1"/>
        <v>754</v>
      </c>
      <c r="H7" s="272">
        <f t="shared" si="2"/>
        <v>5046</v>
      </c>
      <c r="I7" s="275">
        <f t="shared" si="3"/>
        <v>454140</v>
      </c>
      <c r="J7" s="276">
        <f t="shared" si="4"/>
        <v>6055.2</v>
      </c>
      <c r="L7" s="90" t="s">
        <v>113</v>
      </c>
      <c r="M7" s="276">
        <f>SUM(J:J)</f>
        <v>306968.36399999994</v>
      </c>
      <c r="N7" s="91">
        <v>306968.36399999994</v>
      </c>
    </row>
    <row r="8" spans="1:18">
      <c r="A8" s="88">
        <v>7</v>
      </c>
      <c r="B8" s="88" t="s">
        <v>49</v>
      </c>
      <c r="C8" s="88" t="s">
        <v>130</v>
      </c>
      <c r="D8" s="88" t="s">
        <v>131</v>
      </c>
      <c r="E8" s="95">
        <v>3600</v>
      </c>
      <c r="F8" s="272">
        <f t="shared" si="0"/>
        <v>1620</v>
      </c>
      <c r="G8" s="272">
        <f t="shared" si="1"/>
        <v>678.6</v>
      </c>
      <c r="H8" s="272">
        <f t="shared" si="2"/>
        <v>4541.3999999999996</v>
      </c>
      <c r="I8" s="275">
        <f t="shared" si="3"/>
        <v>408725.99999999994</v>
      </c>
      <c r="J8" s="276">
        <f t="shared" si="4"/>
        <v>5449.6799999999994</v>
      </c>
    </row>
    <row r="9" spans="1:18">
      <c r="A9" s="88">
        <v>8</v>
      </c>
      <c r="B9" s="88" t="s">
        <v>48</v>
      </c>
      <c r="C9" s="88" t="s">
        <v>132</v>
      </c>
      <c r="D9" s="88" t="s">
        <v>133</v>
      </c>
      <c r="E9" s="95">
        <v>7360</v>
      </c>
      <c r="F9" s="272">
        <f t="shared" si="0"/>
        <v>3312</v>
      </c>
      <c r="G9" s="272">
        <f t="shared" si="1"/>
        <v>1387.3600000000001</v>
      </c>
      <c r="H9" s="272">
        <f t="shared" si="2"/>
        <v>9284.64</v>
      </c>
      <c r="I9" s="275">
        <f t="shared" si="3"/>
        <v>835617.6</v>
      </c>
      <c r="J9" s="276">
        <f t="shared" si="4"/>
        <v>11141.567999999999</v>
      </c>
    </row>
    <row r="10" spans="1:18" ht="16">
      <c r="A10" s="88">
        <v>9</v>
      </c>
      <c r="B10" s="88" t="s">
        <v>47</v>
      </c>
      <c r="C10" s="88" t="s">
        <v>134</v>
      </c>
      <c r="D10" s="88" t="s">
        <v>135</v>
      </c>
      <c r="E10" s="95">
        <v>1800</v>
      </c>
      <c r="F10" s="272">
        <f t="shared" si="0"/>
        <v>810</v>
      </c>
      <c r="G10" s="272">
        <f t="shared" si="1"/>
        <v>339.3</v>
      </c>
      <c r="H10" s="272">
        <f t="shared" si="2"/>
        <v>2270.6999999999998</v>
      </c>
      <c r="I10" s="275">
        <f t="shared" si="3"/>
        <v>204362.99999999997</v>
      </c>
      <c r="J10" s="276">
        <f t="shared" si="4"/>
        <v>2724.8399999999997</v>
      </c>
      <c r="L10" s="51" t="s">
        <v>59</v>
      </c>
      <c r="M10" s="52"/>
      <c r="N10" s="53" t="s">
        <v>60</v>
      </c>
      <c r="O10" s="52">
        <v>5</v>
      </c>
      <c r="P10"/>
      <c r="Q10"/>
      <c r="R10"/>
    </row>
    <row r="11" spans="1:18">
      <c r="A11" s="88">
        <v>10</v>
      </c>
      <c r="B11" s="88" t="s">
        <v>46</v>
      </c>
      <c r="C11" s="88" t="s">
        <v>136</v>
      </c>
      <c r="D11" s="88" t="s">
        <v>137</v>
      </c>
      <c r="E11" s="95">
        <v>3000</v>
      </c>
      <c r="F11" s="272">
        <f t="shared" si="0"/>
        <v>1350</v>
      </c>
      <c r="G11" s="272">
        <f t="shared" si="1"/>
        <v>565.5</v>
      </c>
      <c r="H11" s="272">
        <f t="shared" si="2"/>
        <v>3784.5</v>
      </c>
      <c r="I11" s="275">
        <f t="shared" si="3"/>
        <v>340605</v>
      </c>
      <c r="J11" s="276">
        <f t="shared" si="4"/>
        <v>4541.3999999999996</v>
      </c>
      <c r="L11" s="54"/>
      <c r="M11" s="54"/>
      <c r="N11" s="59"/>
      <c r="O11" s="60" t="s">
        <v>893</v>
      </c>
      <c r="P11"/>
      <c r="Q11"/>
      <c r="R11"/>
    </row>
    <row r="12" spans="1:18">
      <c r="A12" s="88">
        <v>11</v>
      </c>
      <c r="B12" s="88" t="s">
        <v>46</v>
      </c>
      <c r="C12" s="88" t="s">
        <v>130</v>
      </c>
      <c r="D12" s="88" t="s">
        <v>131</v>
      </c>
      <c r="E12" s="95">
        <v>3450</v>
      </c>
      <c r="F12" s="272">
        <f t="shared" si="0"/>
        <v>1552.5</v>
      </c>
      <c r="G12" s="272">
        <f t="shared" si="1"/>
        <v>650.32500000000005</v>
      </c>
      <c r="H12" s="272">
        <f t="shared" si="2"/>
        <v>4352.1750000000002</v>
      </c>
      <c r="I12" s="275">
        <f t="shared" si="3"/>
        <v>391695.75</v>
      </c>
      <c r="J12" s="276">
        <f t="shared" si="4"/>
        <v>5222.6099999999997</v>
      </c>
      <c r="L12" s="55" t="s">
        <v>235</v>
      </c>
      <c r="M12" s="56"/>
      <c r="N12" s="56"/>
      <c r="O12" s="57" t="str">
        <f>IF(SUM(COUNTIF(M7,N7))=COUNTA(L7),"ДА","НЕТ")</f>
        <v>ДА</v>
      </c>
      <c r="P12"/>
      <c r="Q12"/>
      <c r="R12"/>
    </row>
    <row r="13" spans="1:18">
      <c r="A13" s="88">
        <v>12</v>
      </c>
      <c r="B13" s="88" t="s">
        <v>45</v>
      </c>
      <c r="C13" s="88" t="s">
        <v>138</v>
      </c>
      <c r="D13" s="88" t="s">
        <v>135</v>
      </c>
      <c r="E13" s="95">
        <v>2700</v>
      </c>
      <c r="F13" s="272">
        <f t="shared" si="0"/>
        <v>1215</v>
      </c>
      <c r="G13" s="272">
        <f t="shared" si="1"/>
        <v>508.95000000000005</v>
      </c>
      <c r="H13" s="272">
        <f t="shared" si="2"/>
        <v>3406.05</v>
      </c>
      <c r="I13" s="275">
        <f t="shared" si="3"/>
        <v>306544.5</v>
      </c>
      <c r="J13" s="276">
        <f t="shared" si="4"/>
        <v>4087.26</v>
      </c>
      <c r="L13"/>
      <c r="M13"/>
      <c r="N13"/>
      <c r="O13"/>
      <c r="P13"/>
      <c r="Q13"/>
      <c r="R13"/>
    </row>
    <row r="14" spans="1:18">
      <c r="A14" s="88">
        <v>13</v>
      </c>
      <c r="B14" s="88" t="s">
        <v>139</v>
      </c>
      <c r="C14" s="88" t="s">
        <v>140</v>
      </c>
      <c r="D14" s="88" t="s">
        <v>141</v>
      </c>
      <c r="E14" s="95">
        <v>8500</v>
      </c>
      <c r="F14" s="272">
        <f t="shared" si="0"/>
        <v>3825</v>
      </c>
      <c r="G14" s="272">
        <f t="shared" si="1"/>
        <v>1602.25</v>
      </c>
      <c r="H14" s="272">
        <f t="shared" si="2"/>
        <v>10722.75</v>
      </c>
      <c r="I14" s="275">
        <f t="shared" si="3"/>
        <v>965047.5</v>
      </c>
      <c r="J14" s="276">
        <f t="shared" si="4"/>
        <v>12867.3</v>
      </c>
      <c r="L14"/>
      <c r="M14"/>
      <c r="N14"/>
      <c r="O14"/>
      <c r="P14"/>
      <c r="Q14"/>
      <c r="R14"/>
    </row>
    <row r="15" spans="1:18">
      <c r="A15" s="88">
        <v>14</v>
      </c>
      <c r="B15" s="88" t="s">
        <v>43</v>
      </c>
      <c r="C15" s="88" t="s">
        <v>142</v>
      </c>
      <c r="D15" s="88" t="s">
        <v>143</v>
      </c>
      <c r="E15" s="95">
        <v>4650</v>
      </c>
      <c r="F15" s="272">
        <f t="shared" si="0"/>
        <v>2092.5</v>
      </c>
      <c r="G15" s="272">
        <f t="shared" si="1"/>
        <v>876.52499999999998</v>
      </c>
      <c r="H15" s="272">
        <f t="shared" si="2"/>
        <v>5865.9750000000004</v>
      </c>
      <c r="I15" s="275">
        <f t="shared" si="3"/>
        <v>527937.75</v>
      </c>
      <c r="J15" s="276">
        <f t="shared" si="4"/>
        <v>7039.17</v>
      </c>
    </row>
    <row r="16" spans="1:18">
      <c r="A16" s="88">
        <v>15</v>
      </c>
      <c r="B16" s="88" t="s">
        <v>42</v>
      </c>
      <c r="C16" s="88" t="s">
        <v>144</v>
      </c>
      <c r="D16" s="88" t="s">
        <v>145</v>
      </c>
      <c r="E16" s="95">
        <v>2070</v>
      </c>
      <c r="F16" s="272">
        <f t="shared" si="0"/>
        <v>931.5</v>
      </c>
      <c r="G16" s="272">
        <f t="shared" si="1"/>
        <v>390.19499999999999</v>
      </c>
      <c r="H16" s="272">
        <f t="shared" si="2"/>
        <v>2611.3049999999998</v>
      </c>
      <c r="I16" s="275">
        <f t="shared" si="3"/>
        <v>235017.44999999998</v>
      </c>
      <c r="J16" s="276">
        <f t="shared" si="4"/>
        <v>3133.5659999999998</v>
      </c>
      <c r="L16"/>
      <c r="M16"/>
      <c r="N16"/>
      <c r="O16"/>
      <c r="P16"/>
      <c r="Q16"/>
      <c r="R16"/>
    </row>
    <row r="17" spans="1:18">
      <c r="A17" s="88">
        <v>16</v>
      </c>
      <c r="B17" s="88" t="s">
        <v>146</v>
      </c>
      <c r="C17" s="88" t="s">
        <v>147</v>
      </c>
      <c r="D17" s="88" t="s">
        <v>148</v>
      </c>
      <c r="E17" s="95">
        <v>6400</v>
      </c>
      <c r="F17" s="272">
        <f t="shared" si="0"/>
        <v>2880</v>
      </c>
      <c r="G17" s="272">
        <f t="shared" si="1"/>
        <v>1206.4000000000001</v>
      </c>
      <c r="H17" s="272">
        <f t="shared" si="2"/>
        <v>8073.6</v>
      </c>
      <c r="I17" s="275">
        <f t="shared" si="3"/>
        <v>726624</v>
      </c>
      <c r="J17" s="276">
        <f t="shared" si="4"/>
        <v>9688.32</v>
      </c>
      <c r="L17"/>
      <c r="M17"/>
      <c r="N17"/>
      <c r="O17"/>
      <c r="P17"/>
      <c r="Q17"/>
      <c r="R17"/>
    </row>
    <row r="18" spans="1:18">
      <c r="A18" s="88">
        <v>17</v>
      </c>
      <c r="B18" s="88" t="s">
        <v>41</v>
      </c>
      <c r="C18" s="88" t="s">
        <v>149</v>
      </c>
      <c r="D18" s="88" t="s">
        <v>150</v>
      </c>
      <c r="E18" s="95">
        <v>2400</v>
      </c>
      <c r="F18" s="272">
        <f t="shared" si="0"/>
        <v>1080</v>
      </c>
      <c r="G18" s="272">
        <f t="shared" si="1"/>
        <v>452.40000000000003</v>
      </c>
      <c r="H18" s="272">
        <f t="shared" si="2"/>
        <v>3027.6</v>
      </c>
      <c r="I18" s="275">
        <f t="shared" si="3"/>
        <v>272484</v>
      </c>
      <c r="J18" s="276">
        <f t="shared" si="4"/>
        <v>3633.12</v>
      </c>
      <c r="L18"/>
      <c r="M18"/>
      <c r="N18"/>
      <c r="O18"/>
      <c r="P18"/>
      <c r="Q18"/>
      <c r="R18"/>
    </row>
    <row r="19" spans="1:18">
      <c r="A19" s="88">
        <v>18</v>
      </c>
      <c r="B19" s="88" t="s">
        <v>151</v>
      </c>
      <c r="C19" s="88" t="s">
        <v>152</v>
      </c>
      <c r="D19" s="88" t="s">
        <v>153</v>
      </c>
      <c r="E19" s="95">
        <v>3100</v>
      </c>
      <c r="F19" s="272">
        <f t="shared" si="0"/>
        <v>1395</v>
      </c>
      <c r="G19" s="272">
        <f t="shared" si="1"/>
        <v>584.35</v>
      </c>
      <c r="H19" s="272">
        <f t="shared" si="2"/>
        <v>3910.65</v>
      </c>
      <c r="I19" s="275">
        <f t="shared" si="3"/>
        <v>351958.5</v>
      </c>
      <c r="J19" s="276">
        <f t="shared" si="4"/>
        <v>4692.78</v>
      </c>
      <c r="L19"/>
      <c r="M19"/>
      <c r="N19"/>
      <c r="O19"/>
      <c r="P19"/>
      <c r="Q19"/>
      <c r="R19"/>
    </row>
    <row r="20" spans="1:18">
      <c r="A20" s="88">
        <v>19</v>
      </c>
      <c r="B20" s="88" t="s">
        <v>151</v>
      </c>
      <c r="C20" s="88" t="s">
        <v>154</v>
      </c>
      <c r="D20" s="88" t="s">
        <v>155</v>
      </c>
      <c r="E20" s="95">
        <v>3480</v>
      </c>
      <c r="F20" s="272">
        <f t="shared" si="0"/>
        <v>1566</v>
      </c>
      <c r="G20" s="272">
        <f t="shared" si="1"/>
        <v>655.98</v>
      </c>
      <c r="H20" s="272">
        <f t="shared" si="2"/>
        <v>4390.0200000000004</v>
      </c>
      <c r="I20" s="275">
        <f t="shared" si="3"/>
        <v>395101.80000000005</v>
      </c>
      <c r="J20" s="276">
        <f t="shared" si="4"/>
        <v>5268.0240000000003</v>
      </c>
      <c r="L20"/>
      <c r="M20"/>
      <c r="N20"/>
      <c r="O20"/>
      <c r="P20"/>
      <c r="Q20"/>
      <c r="R20"/>
    </row>
    <row r="21" spans="1:18">
      <c r="A21" s="88">
        <v>20</v>
      </c>
      <c r="B21" s="88" t="s">
        <v>39</v>
      </c>
      <c r="C21" s="88" t="s">
        <v>156</v>
      </c>
      <c r="D21" s="88" t="s">
        <v>157</v>
      </c>
      <c r="E21" s="95">
        <v>900</v>
      </c>
      <c r="F21" s="272">
        <f t="shared" si="0"/>
        <v>405</v>
      </c>
      <c r="G21" s="272">
        <f t="shared" si="1"/>
        <v>169.65</v>
      </c>
      <c r="H21" s="272">
        <f t="shared" si="2"/>
        <v>1135.3499999999999</v>
      </c>
      <c r="I21" s="275">
        <f t="shared" si="3"/>
        <v>102181.49999999999</v>
      </c>
      <c r="J21" s="276">
        <f t="shared" si="4"/>
        <v>1362.4199999999998</v>
      </c>
    </row>
    <row r="22" spans="1:18">
      <c r="A22" s="88">
        <v>21</v>
      </c>
      <c r="B22" s="88" t="s">
        <v>158</v>
      </c>
      <c r="C22" s="88" t="s">
        <v>159</v>
      </c>
      <c r="D22" s="88" t="s">
        <v>160</v>
      </c>
      <c r="E22" s="95">
        <v>905</v>
      </c>
      <c r="F22" s="272">
        <f t="shared" si="0"/>
        <v>407.25</v>
      </c>
      <c r="G22" s="272">
        <f t="shared" si="1"/>
        <v>170.5925</v>
      </c>
      <c r="H22" s="272">
        <f t="shared" si="2"/>
        <v>1141.6575</v>
      </c>
      <c r="I22" s="275">
        <f t="shared" si="3"/>
        <v>102749.175</v>
      </c>
      <c r="J22" s="276">
        <f t="shared" si="4"/>
        <v>1369.989</v>
      </c>
    </row>
    <row r="23" spans="1:18">
      <c r="A23" s="88">
        <v>22</v>
      </c>
      <c r="B23" s="88" t="s">
        <v>38</v>
      </c>
      <c r="C23" s="88" t="s">
        <v>161</v>
      </c>
      <c r="D23" s="88" t="s">
        <v>162</v>
      </c>
      <c r="E23" s="95">
        <v>5750</v>
      </c>
      <c r="F23" s="272">
        <f t="shared" si="0"/>
        <v>2587.5</v>
      </c>
      <c r="G23" s="272">
        <f t="shared" si="1"/>
        <v>1083.875</v>
      </c>
      <c r="H23" s="272">
        <f t="shared" si="2"/>
        <v>7253.625</v>
      </c>
      <c r="I23" s="275">
        <f t="shared" si="3"/>
        <v>652826.25</v>
      </c>
      <c r="J23" s="276">
        <f t="shared" si="4"/>
        <v>8704.35</v>
      </c>
    </row>
    <row r="24" spans="1:18">
      <c r="A24" s="88">
        <v>23</v>
      </c>
      <c r="B24" s="88" t="s">
        <v>163</v>
      </c>
      <c r="C24" s="88" t="s">
        <v>164</v>
      </c>
      <c r="D24" s="88" t="s">
        <v>165</v>
      </c>
      <c r="E24" s="95">
        <v>1800</v>
      </c>
      <c r="F24" s="272">
        <f t="shared" si="0"/>
        <v>810</v>
      </c>
      <c r="G24" s="272">
        <f t="shared" si="1"/>
        <v>339.3</v>
      </c>
      <c r="H24" s="272">
        <f t="shared" si="2"/>
        <v>2270.6999999999998</v>
      </c>
      <c r="I24" s="275">
        <f t="shared" si="3"/>
        <v>204362.99999999997</v>
      </c>
      <c r="J24" s="276">
        <f t="shared" si="4"/>
        <v>2724.8399999999997</v>
      </c>
    </row>
    <row r="25" spans="1:18">
      <c r="A25" s="88">
        <v>24</v>
      </c>
      <c r="B25" s="88" t="s">
        <v>37</v>
      </c>
      <c r="C25" s="88" t="s">
        <v>166</v>
      </c>
      <c r="D25" s="88" t="s">
        <v>165</v>
      </c>
      <c r="E25" s="95">
        <v>3000</v>
      </c>
      <c r="F25" s="272">
        <f t="shared" si="0"/>
        <v>1350</v>
      </c>
      <c r="G25" s="272">
        <f t="shared" si="1"/>
        <v>565.5</v>
      </c>
      <c r="H25" s="272">
        <f t="shared" si="2"/>
        <v>3784.5</v>
      </c>
      <c r="I25" s="275">
        <f t="shared" si="3"/>
        <v>340605</v>
      </c>
      <c r="J25" s="276">
        <f t="shared" si="4"/>
        <v>4541.3999999999996</v>
      </c>
    </row>
    <row r="26" spans="1:18">
      <c r="A26" s="88">
        <v>25</v>
      </c>
      <c r="B26" s="88" t="s">
        <v>36</v>
      </c>
      <c r="C26" s="88" t="s">
        <v>167</v>
      </c>
      <c r="D26" s="88" t="s">
        <v>168</v>
      </c>
      <c r="E26" s="95">
        <v>4750</v>
      </c>
      <c r="F26" s="272">
        <f t="shared" si="0"/>
        <v>2137.5</v>
      </c>
      <c r="G26" s="272">
        <f t="shared" si="1"/>
        <v>895.375</v>
      </c>
      <c r="H26" s="272">
        <f t="shared" si="2"/>
        <v>5992.125</v>
      </c>
      <c r="I26" s="275">
        <f t="shared" si="3"/>
        <v>539291.25</v>
      </c>
      <c r="J26" s="276">
        <f t="shared" si="4"/>
        <v>7190.55</v>
      </c>
    </row>
    <row r="27" spans="1:18">
      <c r="A27" s="88">
        <v>26</v>
      </c>
      <c r="B27" s="88" t="s">
        <v>169</v>
      </c>
      <c r="C27" s="88" t="s">
        <v>170</v>
      </c>
      <c r="D27" s="88" t="s">
        <v>171</v>
      </c>
      <c r="E27" s="95">
        <v>1800</v>
      </c>
      <c r="F27" s="272">
        <f t="shared" si="0"/>
        <v>810</v>
      </c>
      <c r="G27" s="272">
        <f t="shared" si="1"/>
        <v>339.3</v>
      </c>
      <c r="H27" s="272">
        <f t="shared" si="2"/>
        <v>2270.6999999999998</v>
      </c>
      <c r="I27" s="275">
        <f t="shared" si="3"/>
        <v>204362.99999999997</v>
      </c>
      <c r="J27" s="276">
        <f t="shared" si="4"/>
        <v>2724.8399999999997</v>
      </c>
    </row>
    <row r="28" spans="1:18">
      <c r="A28" s="88">
        <v>27</v>
      </c>
      <c r="B28" s="88" t="s">
        <v>172</v>
      </c>
      <c r="C28" s="88" t="s">
        <v>173</v>
      </c>
      <c r="D28" s="88" t="s">
        <v>174</v>
      </c>
      <c r="E28" s="95">
        <v>10880</v>
      </c>
      <c r="F28" s="272">
        <f t="shared" si="0"/>
        <v>4896</v>
      </c>
      <c r="G28" s="272">
        <f t="shared" si="1"/>
        <v>2050.88</v>
      </c>
      <c r="H28" s="272">
        <f t="shared" si="2"/>
        <v>13725.119999999999</v>
      </c>
      <c r="I28" s="275">
        <f t="shared" si="3"/>
        <v>1235260.7999999998</v>
      </c>
      <c r="J28" s="276">
        <f t="shared" si="4"/>
        <v>16470.143999999997</v>
      </c>
    </row>
    <row r="29" spans="1:18">
      <c r="A29" s="88">
        <v>28</v>
      </c>
      <c r="B29" s="88" t="s">
        <v>175</v>
      </c>
      <c r="C29" s="88" t="s">
        <v>167</v>
      </c>
      <c r="D29" s="88" t="s">
        <v>176</v>
      </c>
      <c r="E29" s="95">
        <v>5000</v>
      </c>
      <c r="F29" s="272">
        <f t="shared" si="0"/>
        <v>2250</v>
      </c>
      <c r="G29" s="272">
        <f t="shared" si="1"/>
        <v>942.5</v>
      </c>
      <c r="H29" s="272">
        <f t="shared" si="2"/>
        <v>6307.5</v>
      </c>
      <c r="I29" s="275">
        <f t="shared" si="3"/>
        <v>567675</v>
      </c>
      <c r="J29" s="276">
        <f t="shared" si="4"/>
        <v>7569</v>
      </c>
    </row>
    <row r="30" spans="1:18">
      <c r="A30" s="88">
        <v>29</v>
      </c>
      <c r="B30" s="88" t="s">
        <v>177</v>
      </c>
      <c r="C30" s="88" t="s">
        <v>178</v>
      </c>
      <c r="D30" s="88" t="s">
        <v>168</v>
      </c>
      <c r="E30" s="95">
        <v>1900</v>
      </c>
      <c r="F30" s="272">
        <f t="shared" si="0"/>
        <v>855</v>
      </c>
      <c r="G30" s="272">
        <f t="shared" si="1"/>
        <v>358.15000000000003</v>
      </c>
      <c r="H30" s="272">
        <f t="shared" si="2"/>
        <v>2396.85</v>
      </c>
      <c r="I30" s="275">
        <f t="shared" si="3"/>
        <v>215716.5</v>
      </c>
      <c r="J30" s="276">
        <f t="shared" si="4"/>
        <v>2876.22</v>
      </c>
    </row>
    <row r="31" spans="1:18">
      <c r="A31" s="88">
        <v>30</v>
      </c>
      <c r="B31" s="88" t="s">
        <v>179</v>
      </c>
      <c r="C31" s="88" t="s">
        <v>180</v>
      </c>
      <c r="D31" s="88" t="s">
        <v>181</v>
      </c>
      <c r="E31" s="95">
        <v>3450</v>
      </c>
      <c r="F31" s="272">
        <f t="shared" si="0"/>
        <v>1552.5</v>
      </c>
      <c r="G31" s="272">
        <f t="shared" si="1"/>
        <v>650.32500000000005</v>
      </c>
      <c r="H31" s="272">
        <f t="shared" si="2"/>
        <v>4352.1750000000002</v>
      </c>
      <c r="I31" s="275">
        <f t="shared" si="3"/>
        <v>391695.75</v>
      </c>
      <c r="J31" s="276">
        <f t="shared" si="4"/>
        <v>5222.6099999999997</v>
      </c>
    </row>
    <row r="32" spans="1:18">
      <c r="A32" s="88">
        <v>31</v>
      </c>
      <c r="B32" s="88" t="s">
        <v>182</v>
      </c>
      <c r="C32" s="88" t="s">
        <v>173</v>
      </c>
      <c r="D32" s="88" t="s">
        <v>171</v>
      </c>
      <c r="E32" s="95">
        <v>2550</v>
      </c>
      <c r="F32" s="272">
        <f t="shared" si="0"/>
        <v>1147.5</v>
      </c>
      <c r="G32" s="272">
        <f t="shared" si="1"/>
        <v>480.67500000000001</v>
      </c>
      <c r="H32" s="272">
        <f t="shared" si="2"/>
        <v>3216.8249999999998</v>
      </c>
      <c r="I32" s="275">
        <f t="shared" si="3"/>
        <v>289514.25</v>
      </c>
      <c r="J32" s="276">
        <f t="shared" si="4"/>
        <v>3860.19</v>
      </c>
    </row>
    <row r="33" spans="1:10">
      <c r="A33" s="88">
        <v>32</v>
      </c>
      <c r="B33" s="88" t="s">
        <v>182</v>
      </c>
      <c r="C33" s="88" t="s">
        <v>170</v>
      </c>
      <c r="D33" s="88" t="s">
        <v>171</v>
      </c>
      <c r="E33" s="95">
        <v>7360</v>
      </c>
      <c r="F33" s="272">
        <f t="shared" si="0"/>
        <v>3312</v>
      </c>
      <c r="G33" s="272">
        <f t="shared" si="1"/>
        <v>1387.3600000000001</v>
      </c>
      <c r="H33" s="272">
        <f t="shared" si="2"/>
        <v>9284.64</v>
      </c>
      <c r="I33" s="275">
        <f t="shared" si="3"/>
        <v>835617.6</v>
      </c>
      <c r="J33" s="276">
        <f t="shared" si="4"/>
        <v>11141.567999999999</v>
      </c>
    </row>
    <row r="34" spans="1:10">
      <c r="A34" s="88">
        <v>33</v>
      </c>
      <c r="B34" s="88" t="s">
        <v>183</v>
      </c>
      <c r="C34" s="88" t="s">
        <v>184</v>
      </c>
      <c r="D34" s="88" t="s">
        <v>185</v>
      </c>
      <c r="E34" s="95">
        <v>3600</v>
      </c>
      <c r="F34" s="272">
        <f t="shared" si="0"/>
        <v>1620</v>
      </c>
      <c r="G34" s="272">
        <f t="shared" si="1"/>
        <v>678.6</v>
      </c>
      <c r="H34" s="272">
        <f t="shared" si="2"/>
        <v>4541.3999999999996</v>
      </c>
      <c r="I34" s="275">
        <f t="shared" si="3"/>
        <v>408725.99999999994</v>
      </c>
      <c r="J34" s="276">
        <f t="shared" si="4"/>
        <v>5449.6799999999994</v>
      </c>
    </row>
    <row r="35" spans="1:10">
      <c r="A35" s="88">
        <v>34</v>
      </c>
      <c r="B35" s="88" t="s">
        <v>186</v>
      </c>
      <c r="C35" s="88" t="s">
        <v>187</v>
      </c>
      <c r="D35" s="88" t="s">
        <v>188</v>
      </c>
      <c r="E35" s="95">
        <v>8500</v>
      </c>
      <c r="F35" s="272">
        <f t="shared" si="0"/>
        <v>3825</v>
      </c>
      <c r="G35" s="272">
        <f t="shared" si="1"/>
        <v>1602.25</v>
      </c>
      <c r="H35" s="272">
        <f t="shared" si="2"/>
        <v>10722.75</v>
      </c>
      <c r="I35" s="275">
        <f t="shared" si="3"/>
        <v>965047.5</v>
      </c>
      <c r="J35" s="276">
        <f t="shared" si="4"/>
        <v>12867.3</v>
      </c>
    </row>
    <row r="36" spans="1:10">
      <c r="A36" s="88">
        <v>35</v>
      </c>
      <c r="B36" s="88" t="s">
        <v>189</v>
      </c>
      <c r="C36" s="88" t="s">
        <v>190</v>
      </c>
      <c r="D36" s="88" t="s">
        <v>191</v>
      </c>
      <c r="E36" s="95">
        <v>3400</v>
      </c>
      <c r="F36" s="272">
        <f t="shared" si="0"/>
        <v>1530</v>
      </c>
      <c r="G36" s="272">
        <f t="shared" si="1"/>
        <v>640.9</v>
      </c>
      <c r="H36" s="272">
        <f t="shared" si="2"/>
        <v>4289.1000000000004</v>
      </c>
      <c r="I36" s="275">
        <f t="shared" si="3"/>
        <v>386019.00000000006</v>
      </c>
      <c r="J36" s="276">
        <f t="shared" si="4"/>
        <v>5146.920000000001</v>
      </c>
    </row>
    <row r="37" spans="1:10">
      <c r="A37" s="88">
        <v>36</v>
      </c>
      <c r="B37" s="88" t="s">
        <v>192</v>
      </c>
      <c r="C37" s="88" t="s">
        <v>193</v>
      </c>
      <c r="D37" s="88" t="s">
        <v>194</v>
      </c>
      <c r="E37" s="95">
        <v>2070</v>
      </c>
      <c r="F37" s="272">
        <f t="shared" si="0"/>
        <v>931.5</v>
      </c>
      <c r="G37" s="272">
        <f t="shared" si="1"/>
        <v>390.19499999999999</v>
      </c>
      <c r="H37" s="272">
        <f t="shared" si="2"/>
        <v>2611.3049999999998</v>
      </c>
      <c r="I37" s="275">
        <f t="shared" si="3"/>
        <v>235017.44999999998</v>
      </c>
      <c r="J37" s="276">
        <f t="shared" si="4"/>
        <v>3133.5659999999998</v>
      </c>
    </row>
    <row r="38" spans="1:10">
      <c r="A38" s="88">
        <v>37</v>
      </c>
      <c r="B38" s="88" t="s">
        <v>195</v>
      </c>
      <c r="C38" s="88" t="s">
        <v>193</v>
      </c>
      <c r="D38" s="88" t="s">
        <v>194</v>
      </c>
      <c r="E38" s="95">
        <v>4650</v>
      </c>
      <c r="F38" s="272">
        <f t="shared" si="0"/>
        <v>2092.5</v>
      </c>
      <c r="G38" s="272">
        <f t="shared" si="1"/>
        <v>876.52499999999998</v>
      </c>
      <c r="H38" s="272">
        <f t="shared" si="2"/>
        <v>5865.9750000000004</v>
      </c>
      <c r="I38" s="275">
        <f t="shared" si="3"/>
        <v>527937.75</v>
      </c>
      <c r="J38" s="276">
        <f t="shared" si="4"/>
        <v>7039.17</v>
      </c>
    </row>
    <row r="39" spans="1:10">
      <c r="A39" s="88">
        <v>38</v>
      </c>
      <c r="B39" s="88" t="s">
        <v>196</v>
      </c>
      <c r="C39" s="88" t="s">
        <v>197</v>
      </c>
      <c r="D39" s="88" t="s">
        <v>198</v>
      </c>
      <c r="E39" s="95">
        <v>2515</v>
      </c>
      <c r="F39" s="272">
        <f t="shared" si="0"/>
        <v>1131.75</v>
      </c>
      <c r="G39" s="272">
        <f t="shared" si="1"/>
        <v>474.07750000000004</v>
      </c>
      <c r="H39" s="272">
        <f t="shared" si="2"/>
        <v>3172.6725000000001</v>
      </c>
      <c r="I39" s="275">
        <f t="shared" si="3"/>
        <v>285540.52500000002</v>
      </c>
      <c r="J39" s="276">
        <f t="shared" si="4"/>
        <v>3807.2070000000003</v>
      </c>
    </row>
    <row r="40" spans="1:10">
      <c r="A40" s="88">
        <v>39</v>
      </c>
      <c r="B40" s="88" t="s">
        <v>196</v>
      </c>
      <c r="C40" s="88" t="s">
        <v>199</v>
      </c>
      <c r="D40" s="88" t="s">
        <v>198</v>
      </c>
      <c r="E40" s="95">
        <v>3450</v>
      </c>
      <c r="F40" s="272">
        <f t="shared" si="0"/>
        <v>1552.5</v>
      </c>
      <c r="G40" s="272">
        <f t="shared" si="1"/>
        <v>650.32500000000005</v>
      </c>
      <c r="H40" s="272">
        <f t="shared" si="2"/>
        <v>4352.1750000000002</v>
      </c>
      <c r="I40" s="275">
        <f t="shared" si="3"/>
        <v>391695.75</v>
      </c>
      <c r="J40" s="276">
        <f t="shared" si="4"/>
        <v>5222.6099999999997</v>
      </c>
    </row>
    <row r="41" spans="1:10">
      <c r="A41" s="88">
        <v>40</v>
      </c>
      <c r="B41" s="88" t="s">
        <v>200</v>
      </c>
      <c r="C41" s="88" t="s">
        <v>201</v>
      </c>
      <c r="D41" s="88" t="s">
        <v>202</v>
      </c>
      <c r="E41" s="95">
        <v>2100</v>
      </c>
      <c r="F41" s="272">
        <f t="shared" si="0"/>
        <v>945</v>
      </c>
      <c r="G41" s="272">
        <f t="shared" si="1"/>
        <v>395.85</v>
      </c>
      <c r="H41" s="272">
        <f t="shared" si="2"/>
        <v>2649.15</v>
      </c>
      <c r="I41" s="275">
        <f t="shared" si="3"/>
        <v>238423.5</v>
      </c>
      <c r="J41" s="276">
        <f t="shared" si="4"/>
        <v>3178.98</v>
      </c>
    </row>
    <row r="42" spans="1:10">
      <c r="A42" s="88">
        <v>41</v>
      </c>
      <c r="B42" s="88" t="s">
        <v>203</v>
      </c>
      <c r="C42" s="88" t="s">
        <v>204</v>
      </c>
      <c r="D42" s="88" t="s">
        <v>205</v>
      </c>
      <c r="E42" s="95">
        <v>2550</v>
      </c>
      <c r="F42" s="272">
        <f t="shared" si="0"/>
        <v>1147.5</v>
      </c>
      <c r="G42" s="272">
        <f t="shared" si="1"/>
        <v>480.67500000000001</v>
      </c>
      <c r="H42" s="272">
        <f t="shared" si="2"/>
        <v>3216.8249999999998</v>
      </c>
      <c r="I42" s="275">
        <f t="shared" si="3"/>
        <v>289514.25</v>
      </c>
      <c r="J42" s="276">
        <f t="shared" si="4"/>
        <v>3860.19</v>
      </c>
    </row>
    <row r="43" spans="1:10">
      <c r="A43" s="88">
        <v>42</v>
      </c>
      <c r="B43" s="88" t="s">
        <v>206</v>
      </c>
      <c r="C43" s="88" t="s">
        <v>207</v>
      </c>
      <c r="D43" s="88" t="s">
        <v>208</v>
      </c>
      <c r="E43" s="95">
        <v>5100</v>
      </c>
      <c r="F43" s="272">
        <f t="shared" si="0"/>
        <v>2295</v>
      </c>
      <c r="G43" s="272">
        <f t="shared" si="1"/>
        <v>961.35</v>
      </c>
      <c r="H43" s="272">
        <f t="shared" si="2"/>
        <v>6433.65</v>
      </c>
      <c r="I43" s="275">
        <f t="shared" si="3"/>
        <v>579028.5</v>
      </c>
      <c r="J43" s="276">
        <f t="shared" si="4"/>
        <v>7720.38</v>
      </c>
    </row>
    <row r="44" spans="1:10">
      <c r="A44" s="88">
        <v>43</v>
      </c>
      <c r="B44" s="88" t="s">
        <v>209</v>
      </c>
      <c r="C44" s="88" t="s">
        <v>210</v>
      </c>
      <c r="D44" s="88" t="s">
        <v>211</v>
      </c>
      <c r="E44" s="95">
        <v>3060</v>
      </c>
      <c r="F44" s="272">
        <f t="shared" si="0"/>
        <v>1377</v>
      </c>
      <c r="G44" s="272">
        <f t="shared" si="1"/>
        <v>576.81000000000006</v>
      </c>
      <c r="H44" s="272">
        <f t="shared" si="2"/>
        <v>3860.19</v>
      </c>
      <c r="I44" s="275">
        <f t="shared" si="3"/>
        <v>347417.1</v>
      </c>
      <c r="J44" s="276">
        <f t="shared" si="4"/>
        <v>4632.2280000000001</v>
      </c>
    </row>
    <row r="45" spans="1:10">
      <c r="A45" s="88">
        <v>44</v>
      </c>
      <c r="B45" s="88" t="s">
        <v>212</v>
      </c>
      <c r="C45" s="88" t="s">
        <v>213</v>
      </c>
      <c r="D45" s="88" t="s">
        <v>214</v>
      </c>
      <c r="E45" s="95">
        <v>2080</v>
      </c>
      <c r="F45" s="272">
        <f t="shared" si="0"/>
        <v>936</v>
      </c>
      <c r="G45" s="272">
        <f t="shared" si="1"/>
        <v>392.08000000000004</v>
      </c>
      <c r="H45" s="272">
        <f t="shared" si="2"/>
        <v>2623.92</v>
      </c>
      <c r="I45" s="275">
        <f t="shared" si="3"/>
        <v>236152.80000000002</v>
      </c>
      <c r="J45" s="276">
        <f t="shared" si="4"/>
        <v>3148.7040000000002</v>
      </c>
    </row>
    <row r="46" spans="1:10">
      <c r="A46" s="88">
        <v>45</v>
      </c>
      <c r="B46" s="88" t="s">
        <v>215</v>
      </c>
      <c r="C46" s="88" t="s">
        <v>216</v>
      </c>
      <c r="D46" s="88" t="s">
        <v>217</v>
      </c>
      <c r="E46" s="95">
        <v>3060</v>
      </c>
      <c r="F46" s="272">
        <f t="shared" si="0"/>
        <v>1377</v>
      </c>
      <c r="G46" s="272">
        <f t="shared" si="1"/>
        <v>576.81000000000006</v>
      </c>
      <c r="H46" s="272">
        <f t="shared" si="2"/>
        <v>3860.19</v>
      </c>
      <c r="I46" s="275">
        <f t="shared" si="3"/>
        <v>347417.1</v>
      </c>
      <c r="J46" s="276">
        <f t="shared" si="4"/>
        <v>4632.2280000000001</v>
      </c>
    </row>
    <row r="47" spans="1:10">
      <c r="A47" s="88">
        <v>46</v>
      </c>
      <c r="B47" s="88" t="s">
        <v>218</v>
      </c>
      <c r="C47" s="88" t="s">
        <v>219</v>
      </c>
      <c r="D47" s="88" t="s">
        <v>220</v>
      </c>
      <c r="E47" s="95">
        <v>7360</v>
      </c>
      <c r="F47" s="272">
        <f t="shared" si="0"/>
        <v>3312</v>
      </c>
      <c r="G47" s="272">
        <f t="shared" si="1"/>
        <v>1387.3600000000001</v>
      </c>
      <c r="H47" s="272">
        <f t="shared" si="2"/>
        <v>9284.64</v>
      </c>
      <c r="I47" s="275">
        <f t="shared" si="3"/>
        <v>835617.6</v>
      </c>
      <c r="J47" s="276">
        <f t="shared" si="4"/>
        <v>11141.567999999999</v>
      </c>
    </row>
    <row r="48" spans="1:10">
      <c r="A48" s="88">
        <v>47</v>
      </c>
      <c r="B48" s="88" t="s">
        <v>221</v>
      </c>
      <c r="C48" s="88" t="s">
        <v>222</v>
      </c>
      <c r="D48" s="88" t="s">
        <v>223</v>
      </c>
      <c r="E48" s="95">
        <v>8500</v>
      </c>
      <c r="F48" s="272">
        <f t="shared" si="0"/>
        <v>3825</v>
      </c>
      <c r="G48" s="272">
        <f t="shared" si="1"/>
        <v>1602.25</v>
      </c>
      <c r="H48" s="272">
        <f t="shared" si="2"/>
        <v>10722.75</v>
      </c>
      <c r="I48" s="275">
        <f t="shared" si="3"/>
        <v>965047.5</v>
      </c>
      <c r="J48" s="276">
        <f t="shared" si="4"/>
        <v>12867.3</v>
      </c>
    </row>
    <row r="49" spans="1:10">
      <c r="A49" s="88">
        <v>48</v>
      </c>
      <c r="B49" s="88" t="s">
        <v>224</v>
      </c>
      <c r="C49" s="88" t="s">
        <v>225</v>
      </c>
      <c r="D49" s="88" t="s">
        <v>226</v>
      </c>
      <c r="E49" s="95">
        <v>10880</v>
      </c>
      <c r="F49" s="272">
        <f t="shared" si="0"/>
        <v>4896</v>
      </c>
      <c r="G49" s="272">
        <f t="shared" si="1"/>
        <v>2050.88</v>
      </c>
      <c r="H49" s="272">
        <f t="shared" si="2"/>
        <v>13725.119999999999</v>
      </c>
      <c r="I49" s="275">
        <f t="shared" si="3"/>
        <v>1235260.7999999998</v>
      </c>
      <c r="J49" s="276">
        <f t="shared" si="4"/>
        <v>16470.143999999997</v>
      </c>
    </row>
    <row r="50" spans="1:10">
      <c r="A50" s="88">
        <v>49</v>
      </c>
      <c r="B50" s="88" t="s">
        <v>227</v>
      </c>
      <c r="C50" s="88" t="s">
        <v>228</v>
      </c>
      <c r="D50" s="88" t="s">
        <v>229</v>
      </c>
      <c r="E50" s="95">
        <v>5000</v>
      </c>
      <c r="F50" s="272">
        <f t="shared" si="0"/>
        <v>2250</v>
      </c>
      <c r="G50" s="272">
        <f t="shared" si="1"/>
        <v>942.5</v>
      </c>
      <c r="H50" s="272">
        <f t="shared" si="2"/>
        <v>6307.5</v>
      </c>
      <c r="I50" s="275">
        <f t="shared" si="3"/>
        <v>567675</v>
      </c>
      <c r="J50" s="276">
        <f t="shared" si="4"/>
        <v>7569</v>
      </c>
    </row>
    <row r="51" spans="1:10">
      <c r="A51" s="88">
        <v>50</v>
      </c>
      <c r="B51" s="88" t="s">
        <v>230</v>
      </c>
      <c r="C51" s="88" t="s">
        <v>231</v>
      </c>
      <c r="D51" s="88" t="s">
        <v>232</v>
      </c>
      <c r="E51" s="95">
        <v>1800</v>
      </c>
      <c r="F51" s="272">
        <f t="shared" si="0"/>
        <v>810</v>
      </c>
      <c r="G51" s="272">
        <f t="shared" si="1"/>
        <v>339.3</v>
      </c>
      <c r="H51" s="272">
        <f t="shared" si="2"/>
        <v>2270.6999999999998</v>
      </c>
      <c r="I51" s="275">
        <f t="shared" si="3"/>
        <v>204362.99999999997</v>
      </c>
      <c r="J51" s="276">
        <f t="shared" si="4"/>
        <v>2724.8399999999997</v>
      </c>
    </row>
  </sheetData>
  <conditionalFormatting sqref="O12">
    <cfRule type="cellIs" dxfId="95" priority="3" operator="equal">
      <formula>"нет"</formula>
    </cfRule>
    <cfRule type="cellIs" dxfId="94" priority="4" operator="equal">
      <formula>"да"</formula>
    </cfRule>
  </conditionalFormatting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39997558519241921"/>
  </sheetPr>
  <dimension ref="B1:P17"/>
  <sheetViews>
    <sheetView workbookViewId="0">
      <selection activeCell="N12" sqref="N12"/>
    </sheetView>
  </sheetViews>
  <sheetFormatPr baseColWidth="10" defaultColWidth="8.83203125" defaultRowHeight="15"/>
  <cols>
    <col min="2" max="9" width="11.83203125" customWidth="1"/>
    <col min="10" max="10" width="12.33203125" customWidth="1"/>
    <col min="14" max="14" width="11.5" customWidth="1"/>
    <col min="16" max="16" width="15.5" customWidth="1"/>
  </cols>
  <sheetData>
    <row r="1" spans="2:16" ht="19">
      <c r="B1" s="97" t="s">
        <v>236</v>
      </c>
      <c r="G1" s="98" t="s">
        <v>237</v>
      </c>
      <c r="M1" s="51" t="s">
        <v>59</v>
      </c>
      <c r="N1" s="52"/>
      <c r="O1" s="53" t="s">
        <v>60</v>
      </c>
      <c r="P1" s="52">
        <f>COUNTA(M3)</f>
        <v>1</v>
      </c>
    </row>
    <row r="2" spans="2:16" ht="19">
      <c r="D2" s="99"/>
      <c r="E2" s="99"/>
      <c r="F2" s="99"/>
      <c r="G2" s="99"/>
      <c r="H2" s="99"/>
      <c r="I2" s="99"/>
      <c r="J2" s="99"/>
      <c r="M2" s="54"/>
      <c r="N2" s="54"/>
      <c r="O2" s="59"/>
      <c r="P2" s="60" t="s">
        <v>893</v>
      </c>
    </row>
    <row r="3" spans="2:16" ht="32">
      <c r="B3" s="25" t="s">
        <v>80</v>
      </c>
      <c r="C3" s="100" t="s">
        <v>238</v>
      </c>
      <c r="D3" s="101" t="s">
        <v>81</v>
      </c>
      <c r="E3" s="100" t="s">
        <v>239</v>
      </c>
      <c r="F3" s="100" t="s">
        <v>82</v>
      </c>
      <c r="G3" s="100" t="s">
        <v>83</v>
      </c>
      <c r="H3" s="100" t="s">
        <v>85</v>
      </c>
      <c r="I3" s="100" t="s">
        <v>240</v>
      </c>
      <c r="J3" s="100" t="s">
        <v>241</v>
      </c>
      <c r="M3" s="55" t="s">
        <v>273</v>
      </c>
      <c r="N3" s="56"/>
      <c r="O3" s="56"/>
      <c r="P3" s="57" t="str">
        <f>IF(SUM(COUNTIF(N7,O7))=COUNTA(M7),"ДА","НЕТ")</f>
        <v>ДА</v>
      </c>
    </row>
    <row r="4" spans="2:16">
      <c r="B4" s="62">
        <v>1</v>
      </c>
      <c r="C4" s="102" t="s">
        <v>242</v>
      </c>
      <c r="D4" s="103" t="s">
        <v>243</v>
      </c>
      <c r="E4" s="103" t="s">
        <v>244</v>
      </c>
      <c r="F4" s="103">
        <v>5150</v>
      </c>
      <c r="G4" s="103">
        <v>16</v>
      </c>
      <c r="H4" s="104">
        <v>0.05</v>
      </c>
      <c r="I4" s="103">
        <v>500</v>
      </c>
      <c r="J4" s="96">
        <f>(F4*G4*(1-H4)+I4)/Имен_ячейки!$M$3</f>
        <v>1050.4000000000001</v>
      </c>
      <c r="O4" s="105"/>
    </row>
    <row r="5" spans="2:16">
      <c r="B5" s="62">
        <v>2</v>
      </c>
      <c r="C5" s="102" t="s">
        <v>245</v>
      </c>
      <c r="D5" s="103" t="s">
        <v>243</v>
      </c>
      <c r="E5" s="103" t="s">
        <v>246</v>
      </c>
      <c r="F5" s="103">
        <v>3520</v>
      </c>
      <c r="G5" s="103">
        <v>9</v>
      </c>
      <c r="H5" s="104">
        <v>0.03</v>
      </c>
      <c r="I5" s="103">
        <v>500</v>
      </c>
      <c r="J5" s="96">
        <f>(F5*G5*(1-H5)+I5)/Имен_ячейки!$M$3</f>
        <v>416.39466666666664</v>
      </c>
    </row>
    <row r="6" spans="2:16">
      <c r="B6" s="62">
        <v>3</v>
      </c>
      <c r="C6" s="102" t="s">
        <v>247</v>
      </c>
      <c r="D6" s="103" t="s">
        <v>243</v>
      </c>
      <c r="E6" s="103" t="s">
        <v>248</v>
      </c>
      <c r="F6" s="103">
        <v>2860</v>
      </c>
      <c r="G6" s="103">
        <v>8</v>
      </c>
      <c r="H6" s="104">
        <v>0.03</v>
      </c>
      <c r="I6" s="103">
        <v>500</v>
      </c>
      <c r="J6" s="96">
        <f>(F6*G6*(1-H6)+I6)/Имен_ячейки!$M$3</f>
        <v>302.5813333333333</v>
      </c>
    </row>
    <row r="7" spans="2:16" ht="16">
      <c r="B7" s="62">
        <v>4</v>
      </c>
      <c r="C7" s="102" t="s">
        <v>249</v>
      </c>
      <c r="D7" s="103" t="s">
        <v>243</v>
      </c>
      <c r="E7" s="103" t="s">
        <v>250</v>
      </c>
      <c r="F7" s="103">
        <v>2990</v>
      </c>
      <c r="G7" s="103">
        <v>12</v>
      </c>
      <c r="H7" s="104">
        <v>0.05</v>
      </c>
      <c r="I7" s="103">
        <v>500</v>
      </c>
      <c r="J7" s="96">
        <f>(F7*G7*(1-H7)+I7)/Имен_ячейки!$M$3</f>
        <v>461.14666666666665</v>
      </c>
      <c r="M7" s="90" t="s">
        <v>113</v>
      </c>
      <c r="N7" s="96">
        <f>SUM(J:J)</f>
        <v>10620.76</v>
      </c>
      <c r="O7" s="91">
        <v>10620.76</v>
      </c>
    </row>
    <row r="8" spans="2:16">
      <c r="B8" s="62">
        <v>5</v>
      </c>
      <c r="C8" s="102" t="s">
        <v>251</v>
      </c>
      <c r="D8" s="103" t="s">
        <v>252</v>
      </c>
      <c r="E8" s="103" t="s">
        <v>253</v>
      </c>
      <c r="F8" s="103">
        <v>4500</v>
      </c>
      <c r="G8" s="103">
        <v>20</v>
      </c>
      <c r="H8" s="104">
        <v>7.0000000000000007E-2</v>
      </c>
      <c r="I8" s="103">
        <v>350</v>
      </c>
      <c r="J8" s="96">
        <f>(F8*G8*(1-H8)+I8)/Имен_ячейки!$M$3</f>
        <v>1120.6666666666667</v>
      </c>
    </row>
    <row r="9" spans="2:16">
      <c r="B9" s="62">
        <v>6</v>
      </c>
      <c r="C9" s="102" t="s">
        <v>254</v>
      </c>
      <c r="D9" s="103" t="s">
        <v>255</v>
      </c>
      <c r="E9" s="103" t="s">
        <v>248</v>
      </c>
      <c r="F9" s="103">
        <v>1890</v>
      </c>
      <c r="G9" s="103">
        <v>30</v>
      </c>
      <c r="H9" s="104">
        <v>0.1</v>
      </c>
      <c r="I9" s="103">
        <v>350</v>
      </c>
      <c r="J9" s="96">
        <f>(F9*G9*(1-H9)+I9)/Имен_ячейки!$M$3</f>
        <v>685.06666666666672</v>
      </c>
    </row>
    <row r="10" spans="2:16">
      <c r="B10" s="62">
        <v>7</v>
      </c>
      <c r="C10" s="102" t="s">
        <v>256</v>
      </c>
      <c r="D10" s="103" t="s">
        <v>257</v>
      </c>
      <c r="E10" s="103" t="s">
        <v>258</v>
      </c>
      <c r="F10" s="103">
        <v>1230</v>
      </c>
      <c r="G10" s="103">
        <v>22</v>
      </c>
      <c r="H10" s="104">
        <v>7.0000000000000007E-2</v>
      </c>
      <c r="I10" s="103">
        <v>350</v>
      </c>
      <c r="J10" s="96">
        <f>(F10*G10*(1-H10)+I10)/Имен_ячейки!$M$3</f>
        <v>340.21066666666667</v>
      </c>
    </row>
    <row r="11" spans="2:16">
      <c r="B11" s="62">
        <v>8</v>
      </c>
      <c r="C11" s="102" t="s">
        <v>259</v>
      </c>
      <c r="D11" s="103" t="s">
        <v>257</v>
      </c>
      <c r="E11" s="103" t="s">
        <v>246</v>
      </c>
      <c r="F11" s="103">
        <v>1175</v>
      </c>
      <c r="G11" s="103">
        <v>23</v>
      </c>
      <c r="H11" s="104">
        <v>7.0000000000000007E-2</v>
      </c>
      <c r="I11" s="103">
        <v>350</v>
      </c>
      <c r="J11" s="96">
        <f>(F11*G11*(1-H11)+I11)/Имен_ячейки!$M$3</f>
        <v>339.77666666666664</v>
      </c>
    </row>
    <row r="12" spans="2:16">
      <c r="B12" s="62">
        <v>9</v>
      </c>
      <c r="C12" s="102" t="s">
        <v>260</v>
      </c>
      <c r="D12" s="103" t="s">
        <v>252</v>
      </c>
      <c r="E12" s="103" t="s">
        <v>248</v>
      </c>
      <c r="F12" s="103">
        <v>3485</v>
      </c>
      <c r="G12" s="103">
        <v>25</v>
      </c>
      <c r="H12" s="104">
        <v>7.0000000000000007E-2</v>
      </c>
      <c r="I12" s="103">
        <v>350</v>
      </c>
      <c r="J12" s="96">
        <f>(F12*G12*(1-H12)+I12)/Имен_ячейки!$M$3</f>
        <v>1085.0166666666667</v>
      </c>
    </row>
    <row r="13" spans="2:16">
      <c r="B13" s="62">
        <v>10</v>
      </c>
      <c r="C13" s="102" t="s">
        <v>261</v>
      </c>
      <c r="D13" s="103" t="s">
        <v>262</v>
      </c>
      <c r="E13" s="103" t="s">
        <v>263</v>
      </c>
      <c r="F13" s="103">
        <v>1350</v>
      </c>
      <c r="G13" s="103">
        <v>45</v>
      </c>
      <c r="H13" s="104">
        <v>0.15</v>
      </c>
      <c r="I13" s="103">
        <v>0</v>
      </c>
      <c r="J13" s="96">
        <f>(F13*G13*(1-H13)+I13)/Имен_ячейки!$M$3</f>
        <v>688.5</v>
      </c>
    </row>
    <row r="14" spans="2:16">
      <c r="B14" s="62">
        <v>11</v>
      </c>
      <c r="C14" s="102" t="s">
        <v>264</v>
      </c>
      <c r="D14" s="103" t="s">
        <v>265</v>
      </c>
      <c r="E14" s="103" t="s">
        <v>258</v>
      </c>
      <c r="F14" s="103">
        <v>2000</v>
      </c>
      <c r="G14" s="103">
        <v>45</v>
      </c>
      <c r="H14" s="104">
        <v>0.15</v>
      </c>
      <c r="I14" s="103">
        <v>0</v>
      </c>
      <c r="J14" s="96">
        <f>(F14*G14*(1-H14)+I14)/Имен_ячейки!$M$3</f>
        <v>1020</v>
      </c>
    </row>
    <row r="15" spans="2:16">
      <c r="B15" s="62">
        <v>12</v>
      </c>
      <c r="C15" s="102" t="s">
        <v>266</v>
      </c>
      <c r="D15" s="103" t="s">
        <v>267</v>
      </c>
      <c r="E15" s="103" t="s">
        <v>246</v>
      </c>
      <c r="F15" s="103">
        <v>1570</v>
      </c>
      <c r="G15" s="103">
        <v>45</v>
      </c>
      <c r="H15" s="104">
        <v>0.15</v>
      </c>
      <c r="I15" s="103">
        <v>0</v>
      </c>
      <c r="J15" s="96">
        <f>(F15*G15*(1-H15)+I15)/Имен_ячейки!$M$3</f>
        <v>800.7</v>
      </c>
    </row>
    <row r="16" spans="2:16">
      <c r="B16" s="62">
        <v>13</v>
      </c>
      <c r="C16" s="102" t="s">
        <v>268</v>
      </c>
      <c r="D16" s="103" t="s">
        <v>269</v>
      </c>
      <c r="E16" s="103" t="s">
        <v>246</v>
      </c>
      <c r="F16" s="103">
        <v>2080</v>
      </c>
      <c r="G16" s="103">
        <v>45</v>
      </c>
      <c r="H16" s="104">
        <v>0.15</v>
      </c>
      <c r="I16" s="103">
        <v>0</v>
      </c>
      <c r="J16" s="96">
        <f>(F16*G16*(1-H16)+I16)/Имен_ячейки!$M$3</f>
        <v>1060.8</v>
      </c>
    </row>
    <row r="17" spans="2:10">
      <c r="B17" s="62">
        <v>14</v>
      </c>
      <c r="C17" s="102" t="s">
        <v>270</v>
      </c>
      <c r="D17" s="103" t="s">
        <v>271</v>
      </c>
      <c r="E17" s="103" t="s">
        <v>272</v>
      </c>
      <c r="F17" s="103">
        <v>2450</v>
      </c>
      <c r="G17" s="103">
        <v>45</v>
      </c>
      <c r="H17" s="104">
        <v>0.15</v>
      </c>
      <c r="I17" s="103">
        <v>0</v>
      </c>
      <c r="J17" s="96">
        <f>(F17*G17*(1-H17)+I17)/Имен_ячейки!$M$3</f>
        <v>1249.5</v>
      </c>
    </row>
  </sheetData>
  <conditionalFormatting sqref="P3">
    <cfRule type="cellIs" dxfId="93" priority="1" operator="equal">
      <formula>"нет"</formula>
    </cfRule>
    <cfRule type="cellIs" dxfId="92" priority="2" operator="equal">
      <formula>"да"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0.39997558519241921"/>
  </sheetPr>
  <dimension ref="B1:Q30"/>
  <sheetViews>
    <sheetView workbookViewId="0">
      <selection activeCell="C8" sqref="C8:L17"/>
    </sheetView>
  </sheetViews>
  <sheetFormatPr baseColWidth="10" defaultColWidth="8.83203125" defaultRowHeight="15"/>
  <cols>
    <col min="16" max="16" width="18.33203125" customWidth="1"/>
  </cols>
  <sheetData>
    <row r="1" spans="2:17" ht="16">
      <c r="N1" s="51" t="s">
        <v>59</v>
      </c>
      <c r="O1" s="52"/>
      <c r="P1" s="53" t="s">
        <v>60</v>
      </c>
      <c r="Q1" s="52">
        <f>COUNTA(N3)</f>
        <v>1</v>
      </c>
    </row>
    <row r="2" spans="2:17">
      <c r="N2" s="54"/>
      <c r="O2" s="54"/>
      <c r="P2" s="59"/>
      <c r="Q2" s="60" t="s">
        <v>893</v>
      </c>
    </row>
    <row r="3" spans="2:17" ht="16" thickBot="1">
      <c r="N3" s="55" t="s">
        <v>287</v>
      </c>
      <c r="O3" s="56"/>
      <c r="P3" s="56"/>
      <c r="Q3" s="57" t="str">
        <f t="array" ref="Q3">IF(SUM(COUNTIF(L8:L17,N8:N17))=COUNTA(B8:B17),"ДА","НЕТ")</f>
        <v>ДА</v>
      </c>
    </row>
    <row r="4" spans="2:17" ht="16" thickBot="1">
      <c r="B4" s="406" t="s">
        <v>274</v>
      </c>
      <c r="C4" s="407"/>
      <c r="D4" s="407"/>
      <c r="E4" s="407"/>
      <c r="F4" s="407"/>
      <c r="G4" s="407"/>
      <c r="H4" s="407"/>
      <c r="I4" s="407"/>
      <c r="J4" s="407"/>
      <c r="K4" s="407"/>
      <c r="L4" s="408"/>
      <c r="P4" s="105"/>
    </row>
    <row r="5" spans="2:17" ht="16" thickBot="1">
      <c r="B5" s="409" t="s">
        <v>275</v>
      </c>
      <c r="C5" s="411" t="s">
        <v>276</v>
      </c>
      <c r="D5" s="412"/>
      <c r="E5" s="412"/>
      <c r="F5" s="412"/>
      <c r="G5" s="412"/>
      <c r="H5" s="412"/>
      <c r="I5" s="412"/>
      <c r="J5" s="412"/>
      <c r="K5" s="412"/>
      <c r="L5" s="413"/>
    </row>
    <row r="6" spans="2:17">
      <c r="B6" s="410"/>
      <c r="C6" s="106" t="s">
        <v>277</v>
      </c>
      <c r="D6" s="107" t="s">
        <v>278</v>
      </c>
      <c r="E6" s="107" t="s">
        <v>279</v>
      </c>
      <c r="F6" s="107" t="s">
        <v>280</v>
      </c>
      <c r="G6" s="107" t="s">
        <v>281</v>
      </c>
      <c r="H6" s="107" t="s">
        <v>282</v>
      </c>
      <c r="I6" s="107" t="s">
        <v>283</v>
      </c>
      <c r="J6" s="107" t="s">
        <v>284</v>
      </c>
      <c r="K6" s="107" t="s">
        <v>285</v>
      </c>
      <c r="L6" s="108" t="s">
        <v>286</v>
      </c>
    </row>
    <row r="7" spans="2:17" ht="16" thickBot="1">
      <c r="B7" s="410"/>
      <c r="C7" s="109">
        <v>0.01</v>
      </c>
      <c r="D7" s="110">
        <v>0.02</v>
      </c>
      <c r="E7" s="110">
        <v>0.03</v>
      </c>
      <c r="F7" s="110">
        <v>0.04</v>
      </c>
      <c r="G7" s="110">
        <v>0.05</v>
      </c>
      <c r="H7" s="110">
        <v>0.06</v>
      </c>
      <c r="I7" s="110">
        <v>7.0000000000000007E-2</v>
      </c>
      <c r="J7" s="110">
        <v>0.08</v>
      </c>
      <c r="K7" s="110">
        <v>0.09</v>
      </c>
      <c r="L7" s="111">
        <v>0.1</v>
      </c>
      <c r="N7" s="71">
        <v>0.1</v>
      </c>
    </row>
    <row r="8" spans="2:17">
      <c r="B8" s="112">
        <v>1000</v>
      </c>
      <c r="C8" s="113">
        <f>$B8*C$7</f>
        <v>10</v>
      </c>
      <c r="D8" s="113">
        <f t="shared" ref="D8:L8" si="0">$B8*D$7</f>
        <v>20</v>
      </c>
      <c r="E8" s="113">
        <f t="shared" si="0"/>
        <v>30</v>
      </c>
      <c r="F8" s="113">
        <f t="shared" si="0"/>
        <v>40</v>
      </c>
      <c r="G8" s="113">
        <f t="shared" si="0"/>
        <v>50</v>
      </c>
      <c r="H8" s="113">
        <f t="shared" si="0"/>
        <v>60</v>
      </c>
      <c r="I8" s="113">
        <f t="shared" si="0"/>
        <v>70</v>
      </c>
      <c r="J8" s="113">
        <f t="shared" si="0"/>
        <v>80</v>
      </c>
      <c r="K8" s="113">
        <f t="shared" si="0"/>
        <v>90</v>
      </c>
      <c r="L8" s="113">
        <f t="shared" si="0"/>
        <v>100</v>
      </c>
      <c r="N8" s="50">
        <v>100</v>
      </c>
    </row>
    <row r="9" spans="2:17">
      <c r="B9" s="112">
        <v>2000</v>
      </c>
      <c r="C9" s="113">
        <f t="shared" ref="C9:L17" si="1">$B9*C$7</f>
        <v>20</v>
      </c>
      <c r="D9" s="113">
        <f t="shared" si="1"/>
        <v>40</v>
      </c>
      <c r="E9" s="113">
        <f t="shared" si="1"/>
        <v>60</v>
      </c>
      <c r="F9" s="113">
        <f t="shared" si="1"/>
        <v>80</v>
      </c>
      <c r="G9" s="113">
        <f t="shared" si="1"/>
        <v>100</v>
      </c>
      <c r="H9" s="113">
        <f t="shared" si="1"/>
        <v>120</v>
      </c>
      <c r="I9" s="113">
        <f t="shared" si="1"/>
        <v>140</v>
      </c>
      <c r="J9" s="113">
        <f t="shared" si="1"/>
        <v>160</v>
      </c>
      <c r="K9" s="113">
        <f t="shared" si="1"/>
        <v>180</v>
      </c>
      <c r="L9" s="113">
        <f t="shared" si="1"/>
        <v>200</v>
      </c>
      <c r="N9" s="50">
        <v>200</v>
      </c>
    </row>
    <row r="10" spans="2:17">
      <c r="B10" s="112">
        <v>3000</v>
      </c>
      <c r="C10" s="113">
        <f t="shared" si="1"/>
        <v>30</v>
      </c>
      <c r="D10" s="113">
        <f t="shared" si="1"/>
        <v>60</v>
      </c>
      <c r="E10" s="113">
        <f t="shared" si="1"/>
        <v>90</v>
      </c>
      <c r="F10" s="113">
        <f t="shared" si="1"/>
        <v>120</v>
      </c>
      <c r="G10" s="113">
        <f t="shared" si="1"/>
        <v>150</v>
      </c>
      <c r="H10" s="113">
        <f t="shared" si="1"/>
        <v>180</v>
      </c>
      <c r="I10" s="113">
        <f t="shared" si="1"/>
        <v>210.00000000000003</v>
      </c>
      <c r="J10" s="113">
        <f t="shared" si="1"/>
        <v>240</v>
      </c>
      <c r="K10" s="113">
        <f t="shared" si="1"/>
        <v>270</v>
      </c>
      <c r="L10" s="113">
        <f t="shared" si="1"/>
        <v>300</v>
      </c>
      <c r="N10" s="50">
        <v>300</v>
      </c>
    </row>
    <row r="11" spans="2:17">
      <c r="B11" s="112">
        <v>4000</v>
      </c>
      <c r="C11" s="113">
        <f t="shared" si="1"/>
        <v>40</v>
      </c>
      <c r="D11" s="113">
        <f t="shared" si="1"/>
        <v>80</v>
      </c>
      <c r="E11" s="113">
        <f t="shared" si="1"/>
        <v>120</v>
      </c>
      <c r="F11" s="113">
        <f t="shared" si="1"/>
        <v>160</v>
      </c>
      <c r="G11" s="113">
        <f t="shared" si="1"/>
        <v>200</v>
      </c>
      <c r="H11" s="113">
        <f t="shared" si="1"/>
        <v>240</v>
      </c>
      <c r="I11" s="113">
        <f t="shared" si="1"/>
        <v>280</v>
      </c>
      <c r="J11" s="113">
        <f t="shared" si="1"/>
        <v>320</v>
      </c>
      <c r="K11" s="113">
        <f t="shared" si="1"/>
        <v>360</v>
      </c>
      <c r="L11" s="113">
        <f t="shared" si="1"/>
        <v>400</v>
      </c>
      <c r="N11" s="50">
        <v>400</v>
      </c>
    </row>
    <row r="12" spans="2:17">
      <c r="B12" s="112">
        <v>5000</v>
      </c>
      <c r="C12" s="113">
        <f t="shared" si="1"/>
        <v>50</v>
      </c>
      <c r="D12" s="113">
        <f t="shared" si="1"/>
        <v>100</v>
      </c>
      <c r="E12" s="113">
        <f t="shared" si="1"/>
        <v>150</v>
      </c>
      <c r="F12" s="113">
        <f t="shared" si="1"/>
        <v>200</v>
      </c>
      <c r="G12" s="113">
        <f t="shared" si="1"/>
        <v>250</v>
      </c>
      <c r="H12" s="113">
        <f t="shared" si="1"/>
        <v>300</v>
      </c>
      <c r="I12" s="113">
        <f t="shared" si="1"/>
        <v>350.00000000000006</v>
      </c>
      <c r="J12" s="113">
        <f t="shared" si="1"/>
        <v>400</v>
      </c>
      <c r="K12" s="113">
        <f t="shared" si="1"/>
        <v>450</v>
      </c>
      <c r="L12" s="113">
        <f t="shared" si="1"/>
        <v>500</v>
      </c>
      <c r="N12" s="50">
        <v>500</v>
      </c>
    </row>
    <row r="13" spans="2:17">
      <c r="B13" s="112">
        <v>6000</v>
      </c>
      <c r="C13" s="113">
        <f t="shared" si="1"/>
        <v>60</v>
      </c>
      <c r="D13" s="113">
        <f t="shared" si="1"/>
        <v>120</v>
      </c>
      <c r="E13" s="113">
        <f t="shared" si="1"/>
        <v>180</v>
      </c>
      <c r="F13" s="113">
        <f t="shared" si="1"/>
        <v>240</v>
      </c>
      <c r="G13" s="113">
        <f t="shared" si="1"/>
        <v>300</v>
      </c>
      <c r="H13" s="113">
        <f t="shared" si="1"/>
        <v>360</v>
      </c>
      <c r="I13" s="113">
        <f t="shared" si="1"/>
        <v>420.00000000000006</v>
      </c>
      <c r="J13" s="113">
        <f t="shared" si="1"/>
        <v>480</v>
      </c>
      <c r="K13" s="113">
        <f t="shared" si="1"/>
        <v>540</v>
      </c>
      <c r="L13" s="113">
        <f t="shared" si="1"/>
        <v>600</v>
      </c>
      <c r="N13" s="50">
        <v>600</v>
      </c>
    </row>
    <row r="14" spans="2:17">
      <c r="B14" s="112">
        <v>7000</v>
      </c>
      <c r="C14" s="113">
        <f t="shared" si="1"/>
        <v>70</v>
      </c>
      <c r="D14" s="113">
        <f t="shared" si="1"/>
        <v>140</v>
      </c>
      <c r="E14" s="113">
        <f t="shared" si="1"/>
        <v>210</v>
      </c>
      <c r="F14" s="113">
        <f t="shared" si="1"/>
        <v>280</v>
      </c>
      <c r="G14" s="113">
        <f t="shared" si="1"/>
        <v>350</v>
      </c>
      <c r="H14" s="113">
        <f t="shared" si="1"/>
        <v>420</v>
      </c>
      <c r="I14" s="113">
        <f t="shared" si="1"/>
        <v>490.00000000000006</v>
      </c>
      <c r="J14" s="113">
        <f t="shared" si="1"/>
        <v>560</v>
      </c>
      <c r="K14" s="113">
        <f t="shared" si="1"/>
        <v>630</v>
      </c>
      <c r="L14" s="113">
        <f t="shared" si="1"/>
        <v>700</v>
      </c>
      <c r="N14" s="50">
        <v>700</v>
      </c>
    </row>
    <row r="15" spans="2:17">
      <c r="B15" s="112">
        <v>8000</v>
      </c>
      <c r="C15" s="113">
        <f t="shared" si="1"/>
        <v>80</v>
      </c>
      <c r="D15" s="113">
        <f t="shared" si="1"/>
        <v>160</v>
      </c>
      <c r="E15" s="113">
        <f t="shared" si="1"/>
        <v>240</v>
      </c>
      <c r="F15" s="113">
        <f t="shared" si="1"/>
        <v>320</v>
      </c>
      <c r="G15" s="113">
        <f t="shared" si="1"/>
        <v>400</v>
      </c>
      <c r="H15" s="113">
        <f t="shared" si="1"/>
        <v>480</v>
      </c>
      <c r="I15" s="113">
        <f t="shared" si="1"/>
        <v>560</v>
      </c>
      <c r="J15" s="113">
        <f t="shared" si="1"/>
        <v>640</v>
      </c>
      <c r="K15" s="113">
        <f t="shared" si="1"/>
        <v>720</v>
      </c>
      <c r="L15" s="113">
        <f t="shared" si="1"/>
        <v>800</v>
      </c>
      <c r="N15" s="50">
        <v>800</v>
      </c>
    </row>
    <row r="16" spans="2:17">
      <c r="B16" s="112">
        <v>9000</v>
      </c>
      <c r="C16" s="113">
        <f t="shared" si="1"/>
        <v>90</v>
      </c>
      <c r="D16" s="113">
        <f t="shared" si="1"/>
        <v>180</v>
      </c>
      <c r="E16" s="113">
        <f t="shared" si="1"/>
        <v>270</v>
      </c>
      <c r="F16" s="113">
        <f t="shared" si="1"/>
        <v>360</v>
      </c>
      <c r="G16" s="113">
        <f t="shared" si="1"/>
        <v>450</v>
      </c>
      <c r="H16" s="113">
        <f t="shared" si="1"/>
        <v>540</v>
      </c>
      <c r="I16" s="113">
        <f t="shared" si="1"/>
        <v>630.00000000000011</v>
      </c>
      <c r="J16" s="113">
        <f t="shared" si="1"/>
        <v>720</v>
      </c>
      <c r="K16" s="113">
        <f t="shared" si="1"/>
        <v>810</v>
      </c>
      <c r="L16" s="113">
        <f t="shared" si="1"/>
        <v>900</v>
      </c>
      <c r="N16" s="50">
        <v>900</v>
      </c>
    </row>
    <row r="17" spans="2:14" ht="16" thickBot="1">
      <c r="B17" s="114">
        <v>10000</v>
      </c>
      <c r="C17" s="113">
        <f t="shared" si="1"/>
        <v>100</v>
      </c>
      <c r="D17" s="113">
        <f t="shared" si="1"/>
        <v>200</v>
      </c>
      <c r="E17" s="113">
        <f t="shared" si="1"/>
        <v>300</v>
      </c>
      <c r="F17" s="113">
        <f t="shared" si="1"/>
        <v>400</v>
      </c>
      <c r="G17" s="113">
        <f t="shared" si="1"/>
        <v>500</v>
      </c>
      <c r="H17" s="113">
        <f t="shared" si="1"/>
        <v>600</v>
      </c>
      <c r="I17" s="113">
        <f t="shared" si="1"/>
        <v>700.00000000000011</v>
      </c>
      <c r="J17" s="113">
        <f t="shared" si="1"/>
        <v>800</v>
      </c>
      <c r="K17" s="113">
        <f t="shared" si="1"/>
        <v>900</v>
      </c>
      <c r="L17" s="113">
        <f t="shared" si="1"/>
        <v>1000</v>
      </c>
      <c r="N17" s="50">
        <v>1000</v>
      </c>
    </row>
    <row r="21" spans="2:14" ht="16">
      <c r="C21" s="115"/>
      <c r="D21" s="127"/>
      <c r="E21" s="127"/>
      <c r="F21" s="120"/>
      <c r="G21" s="115"/>
      <c r="H21" s="194"/>
    </row>
    <row r="22" spans="2:14" ht="16">
      <c r="C22" s="326"/>
      <c r="D22" s="327"/>
      <c r="E22" s="327"/>
      <c r="F22" s="327"/>
      <c r="G22" s="327"/>
      <c r="H22" s="328"/>
      <c r="I22" s="327"/>
    </row>
    <row r="23" spans="2:14" ht="16">
      <c r="C23" s="326"/>
      <c r="D23" s="327"/>
      <c r="E23" s="327"/>
      <c r="F23" s="327"/>
      <c r="G23" s="327"/>
      <c r="H23" s="328"/>
      <c r="I23" s="327"/>
    </row>
    <row r="24" spans="2:14" ht="21">
      <c r="C24" s="326"/>
      <c r="D24" s="329"/>
      <c r="E24" s="327"/>
      <c r="F24" s="327"/>
      <c r="G24" s="327"/>
      <c r="H24" s="328"/>
      <c r="I24" s="327"/>
    </row>
    <row r="25" spans="2:14" ht="21">
      <c r="C25" s="326"/>
      <c r="D25" s="327"/>
      <c r="E25" s="330"/>
      <c r="F25" s="330"/>
      <c r="G25" s="330"/>
      <c r="H25" s="328"/>
      <c r="I25" s="327"/>
    </row>
    <row r="26" spans="2:14" ht="16">
      <c r="C26" s="326"/>
      <c r="D26" s="331"/>
      <c r="E26" s="331"/>
      <c r="F26" s="332"/>
      <c r="G26" s="326"/>
      <c r="H26" s="328"/>
      <c r="I26" s="327"/>
    </row>
    <row r="27" spans="2:14" ht="16">
      <c r="C27" s="326"/>
      <c r="D27" s="331"/>
      <c r="E27" s="331"/>
      <c r="F27" s="332"/>
      <c r="G27" s="326"/>
      <c r="H27" s="328"/>
      <c r="I27" s="327"/>
    </row>
    <row r="28" spans="2:14" ht="16">
      <c r="C28" s="326"/>
      <c r="D28" s="326"/>
      <c r="E28" s="326"/>
      <c r="F28" s="333"/>
      <c r="G28" s="326"/>
      <c r="H28" s="328"/>
      <c r="I28" s="327"/>
    </row>
    <row r="29" spans="2:14">
      <c r="C29" s="327"/>
      <c r="D29" s="327"/>
      <c r="E29" s="327"/>
      <c r="F29" s="327"/>
      <c r="G29" s="327"/>
      <c r="H29" s="327"/>
      <c r="I29" s="327"/>
    </row>
    <row r="30" spans="2:14">
      <c r="C30" s="327"/>
      <c r="D30" s="327"/>
      <c r="E30" s="327"/>
      <c r="F30" s="327"/>
      <c r="G30" s="327"/>
      <c r="H30" s="327"/>
      <c r="I30" s="327"/>
    </row>
  </sheetData>
  <mergeCells count="3">
    <mergeCell ref="B4:L4"/>
    <mergeCell ref="B5:B7"/>
    <mergeCell ref="C5:L5"/>
  </mergeCells>
  <conditionalFormatting sqref="Q3">
    <cfRule type="cellIs" dxfId="91" priority="1" operator="equal">
      <formula>"нет"</formula>
    </cfRule>
    <cfRule type="cellIs" dxfId="90" priority="2" operator="equal">
      <formula>"да"</formula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C00000"/>
  </sheetPr>
  <dimension ref="A1:O31"/>
  <sheetViews>
    <sheetView workbookViewId="0">
      <selection activeCell="L21" sqref="L21"/>
    </sheetView>
  </sheetViews>
  <sheetFormatPr baseColWidth="10" defaultColWidth="8.83203125" defaultRowHeight="15"/>
  <cols>
    <col min="1" max="1" width="3.5" bestFit="1" customWidth="1"/>
    <col min="2" max="2" width="16.6640625" bestFit="1" customWidth="1"/>
    <col min="3" max="3" width="12.33203125" bestFit="1" customWidth="1"/>
    <col min="4" max="4" width="13.1640625" bestFit="1" customWidth="1"/>
    <col min="5" max="5" width="13.5" bestFit="1" customWidth="1"/>
    <col min="6" max="7" width="12.1640625" bestFit="1" customWidth="1"/>
    <col min="8" max="8" width="13.5" bestFit="1" customWidth="1"/>
    <col min="9" max="9" width="14.5" customWidth="1"/>
    <col min="10" max="10" width="13.1640625" customWidth="1"/>
    <col min="12" max="12" width="19.33203125" customWidth="1"/>
    <col min="13" max="13" width="24.5" customWidth="1"/>
  </cols>
  <sheetData>
    <row r="1" spans="1:15" ht="25.5" customHeight="1">
      <c r="A1" s="131" t="s">
        <v>80</v>
      </c>
      <c r="B1" s="131" t="s">
        <v>105</v>
      </c>
      <c r="C1" s="131" t="s">
        <v>106</v>
      </c>
      <c r="D1" s="131" t="s">
        <v>107</v>
      </c>
      <c r="E1" s="131" t="s">
        <v>108</v>
      </c>
      <c r="F1" s="131" t="s">
        <v>109</v>
      </c>
      <c r="G1" s="131" t="s">
        <v>110</v>
      </c>
      <c r="H1" s="131" t="s">
        <v>111</v>
      </c>
      <c r="I1" s="131" t="s">
        <v>112</v>
      </c>
      <c r="J1" s="131" t="s">
        <v>113</v>
      </c>
      <c r="L1" s="133"/>
      <c r="M1" s="273" t="s">
        <v>1071</v>
      </c>
      <c r="N1" s="274">
        <v>0.22</v>
      </c>
      <c r="O1" s="133"/>
    </row>
    <row r="2" spans="1:15">
      <c r="A2" s="132">
        <v>1</v>
      </c>
      <c r="B2" s="132" t="s">
        <v>336</v>
      </c>
      <c r="C2" s="132" t="s">
        <v>115</v>
      </c>
      <c r="D2" s="132" t="s">
        <v>116</v>
      </c>
      <c r="E2" s="272">
        <v>1510</v>
      </c>
      <c r="F2" s="272">
        <f>E2*$N$1</f>
        <v>332.2</v>
      </c>
      <c r="G2" s="272">
        <f>(E2+F2)*Имен_ячейки!$M$2</f>
        <v>239.48600000000002</v>
      </c>
      <c r="H2" s="272">
        <f>(E2+F2)-G2</f>
        <v>1602.7139999999999</v>
      </c>
      <c r="I2" s="275">
        <f>H2*Имен_ячейки!$M$4</f>
        <v>144244.26</v>
      </c>
      <c r="J2" s="276">
        <f>I2/Имен_ячейки!$M$3</f>
        <v>1923.2568000000001</v>
      </c>
      <c r="L2" s="133"/>
      <c r="O2" s="133"/>
    </row>
    <row r="3" spans="1:15">
      <c r="A3" s="132">
        <v>2</v>
      </c>
      <c r="B3" s="132" t="s">
        <v>337</v>
      </c>
      <c r="C3" s="132" t="s">
        <v>118</v>
      </c>
      <c r="D3" s="132" t="s">
        <v>119</v>
      </c>
      <c r="E3" s="272">
        <v>5440</v>
      </c>
      <c r="F3" s="272">
        <f t="shared" ref="F3:F31" si="0">E3*$N$1</f>
        <v>1196.8</v>
      </c>
      <c r="G3" s="272">
        <f>(E3+F3)*Имен_ячейки!$M$2</f>
        <v>862.78400000000011</v>
      </c>
      <c r="H3" s="272">
        <f t="shared" ref="H3:H31" si="1">(E3+F3)-G3</f>
        <v>5774.0159999999996</v>
      </c>
      <c r="I3" s="275">
        <f>H3*Имен_ячейки!$M$4</f>
        <v>519661.43999999994</v>
      </c>
      <c r="J3" s="276">
        <f>I3/Имен_ячейки!$M$3</f>
        <v>6928.819199999999</v>
      </c>
      <c r="L3" s="133"/>
      <c r="O3" s="133"/>
    </row>
    <row r="4" spans="1:15">
      <c r="A4" s="132">
        <v>3</v>
      </c>
      <c r="B4" s="132" t="s">
        <v>338</v>
      </c>
      <c r="C4" s="132" t="s">
        <v>121</v>
      </c>
      <c r="D4" s="132" t="s">
        <v>122</v>
      </c>
      <c r="E4" s="272">
        <v>2050</v>
      </c>
      <c r="F4" s="272">
        <f t="shared" si="0"/>
        <v>451</v>
      </c>
      <c r="G4" s="272">
        <f>(E4+F4)*Имен_ячейки!$M$2</f>
        <v>325.13</v>
      </c>
      <c r="H4" s="272">
        <f t="shared" si="1"/>
        <v>2175.87</v>
      </c>
      <c r="I4" s="275">
        <f>H4*Имен_ячейки!$M$4</f>
        <v>195828.3</v>
      </c>
      <c r="J4" s="276">
        <f>I4/Имен_ячейки!$M$3</f>
        <v>2611.0439999999999</v>
      </c>
      <c r="L4" s="133"/>
      <c r="O4" s="133"/>
    </row>
    <row r="5" spans="1:15">
      <c r="A5" s="132">
        <v>4</v>
      </c>
      <c r="B5" s="132" t="s">
        <v>339</v>
      </c>
      <c r="C5" s="132" t="s">
        <v>123</v>
      </c>
      <c r="D5" s="132" t="s">
        <v>124</v>
      </c>
      <c r="E5" s="272">
        <v>1800</v>
      </c>
      <c r="F5" s="272">
        <f t="shared" si="0"/>
        <v>396</v>
      </c>
      <c r="G5" s="272">
        <f>(E5+F5)*Имен_ячейки!$M$2</f>
        <v>285.48</v>
      </c>
      <c r="H5" s="272">
        <f t="shared" si="1"/>
        <v>1910.52</v>
      </c>
      <c r="I5" s="275">
        <f>H5*Имен_ячейки!$M$4</f>
        <v>171946.8</v>
      </c>
      <c r="J5" s="276">
        <f>I5/Имен_ячейки!$M$3</f>
        <v>2292.6239999999998</v>
      </c>
      <c r="L5" s="133"/>
      <c r="M5" s="133"/>
      <c r="N5" s="133"/>
      <c r="O5" s="133"/>
    </row>
    <row r="6" spans="1:15">
      <c r="A6" s="132">
        <v>5</v>
      </c>
      <c r="B6" s="132" t="s">
        <v>340</v>
      </c>
      <c r="C6" s="132" t="s">
        <v>125</v>
      </c>
      <c r="D6" s="132" t="s">
        <v>126</v>
      </c>
      <c r="E6" s="272">
        <v>5750</v>
      </c>
      <c r="F6" s="272">
        <f t="shared" si="0"/>
        <v>1265</v>
      </c>
      <c r="G6" s="272">
        <f>(E6+F6)*Имен_ячейки!$M$2</f>
        <v>911.95</v>
      </c>
      <c r="H6" s="272">
        <f t="shared" si="1"/>
        <v>6103.05</v>
      </c>
      <c r="I6" s="275">
        <f>H6*Имен_ячейки!$M$4</f>
        <v>549274.5</v>
      </c>
      <c r="J6" s="276">
        <f>I6/Имен_ячейки!$M$3</f>
        <v>7323.66</v>
      </c>
      <c r="L6" s="133"/>
      <c r="M6" s="133"/>
      <c r="N6" s="133"/>
      <c r="O6" s="133"/>
    </row>
    <row r="7" spans="1:15">
      <c r="A7" s="132">
        <v>6</v>
      </c>
      <c r="B7" s="132" t="s">
        <v>341</v>
      </c>
      <c r="C7" s="132" t="s">
        <v>128</v>
      </c>
      <c r="D7" s="132" t="s">
        <v>129</v>
      </c>
      <c r="E7" s="272">
        <v>4000</v>
      </c>
      <c r="F7" s="272">
        <f t="shared" si="0"/>
        <v>880</v>
      </c>
      <c r="G7" s="272">
        <f>(E7+F7)*Имен_ячейки!$M$2</f>
        <v>634.4</v>
      </c>
      <c r="H7" s="272">
        <f t="shared" si="1"/>
        <v>4245.6000000000004</v>
      </c>
      <c r="I7" s="275">
        <f>H7*Имен_ячейки!$M$4</f>
        <v>382104.00000000006</v>
      </c>
      <c r="J7" s="276">
        <f>I7/Имен_ячейки!$M$3</f>
        <v>5094.7200000000012</v>
      </c>
      <c r="L7" s="133"/>
      <c r="M7" s="133"/>
      <c r="N7" s="133"/>
      <c r="O7" s="133"/>
    </row>
    <row r="8" spans="1:15">
      <c r="A8" s="132">
        <v>7</v>
      </c>
      <c r="B8" s="132" t="s">
        <v>342</v>
      </c>
      <c r="C8" s="132" t="s">
        <v>130</v>
      </c>
      <c r="D8" s="132" t="s">
        <v>131</v>
      </c>
      <c r="E8" s="272">
        <v>3600</v>
      </c>
      <c r="F8" s="272">
        <f t="shared" si="0"/>
        <v>792</v>
      </c>
      <c r="G8" s="272">
        <f>(E8+F8)*Имен_ячейки!$M$2</f>
        <v>570.96</v>
      </c>
      <c r="H8" s="272">
        <f t="shared" si="1"/>
        <v>3821.04</v>
      </c>
      <c r="I8" s="275">
        <f>H8*Имен_ячейки!$M$4</f>
        <v>343893.6</v>
      </c>
      <c r="J8" s="276">
        <f>I8/Имен_ячейки!$M$3</f>
        <v>4585.2479999999996</v>
      </c>
    </row>
    <row r="9" spans="1:15">
      <c r="A9" s="132">
        <v>8</v>
      </c>
      <c r="B9" s="132" t="s">
        <v>343</v>
      </c>
      <c r="C9" s="132" t="s">
        <v>132</v>
      </c>
      <c r="D9" s="132" t="s">
        <v>133</v>
      </c>
      <c r="E9" s="272">
        <v>7360</v>
      </c>
      <c r="F9" s="272">
        <f t="shared" si="0"/>
        <v>1619.2</v>
      </c>
      <c r="G9" s="272">
        <f>(E9+F9)*Имен_ячейки!$M$2</f>
        <v>1167.296</v>
      </c>
      <c r="H9" s="272">
        <f t="shared" si="1"/>
        <v>7811.9040000000005</v>
      </c>
      <c r="I9" s="275">
        <f>H9*Имен_ячейки!$M$4</f>
        <v>703071.36</v>
      </c>
      <c r="J9" s="276">
        <f>I9/Имен_ячейки!$M$3</f>
        <v>9374.2847999999994</v>
      </c>
    </row>
    <row r="10" spans="1:15">
      <c r="A10" s="132">
        <v>9</v>
      </c>
      <c r="B10" s="132" t="s">
        <v>344</v>
      </c>
      <c r="C10" s="132" t="s">
        <v>134</v>
      </c>
      <c r="D10" s="132" t="s">
        <v>135</v>
      </c>
      <c r="E10" s="272">
        <v>1800</v>
      </c>
      <c r="F10" s="272">
        <f t="shared" si="0"/>
        <v>396</v>
      </c>
      <c r="G10" s="272">
        <f>(E10+F10)*Имен_ячейки!$M$2</f>
        <v>285.48</v>
      </c>
      <c r="H10" s="272">
        <f t="shared" si="1"/>
        <v>1910.52</v>
      </c>
      <c r="I10" s="275">
        <f>H10*Имен_ячейки!$M$4</f>
        <v>171946.8</v>
      </c>
      <c r="J10" s="276">
        <f>I10/Имен_ячейки!$M$3</f>
        <v>2292.6239999999998</v>
      </c>
    </row>
    <row r="11" spans="1:15">
      <c r="A11" s="132">
        <v>10</v>
      </c>
      <c r="B11" s="132" t="s">
        <v>345</v>
      </c>
      <c r="C11" s="132" t="s">
        <v>136</v>
      </c>
      <c r="D11" s="132" t="s">
        <v>137</v>
      </c>
      <c r="E11" s="272">
        <v>3000</v>
      </c>
      <c r="F11" s="272">
        <f t="shared" si="0"/>
        <v>660</v>
      </c>
      <c r="G11" s="272">
        <f>(E11+F11)*Имен_ячейки!$M$2</f>
        <v>475.8</v>
      </c>
      <c r="H11" s="272">
        <f t="shared" si="1"/>
        <v>3184.2</v>
      </c>
      <c r="I11" s="275">
        <f>H11*Имен_ячейки!$M$4</f>
        <v>286578</v>
      </c>
      <c r="J11" s="276">
        <f>I11/Имен_ячейки!$M$3</f>
        <v>3821.04</v>
      </c>
    </row>
    <row r="12" spans="1:15">
      <c r="A12" s="132">
        <v>11</v>
      </c>
      <c r="B12" s="132" t="s">
        <v>345</v>
      </c>
      <c r="C12" s="132" t="s">
        <v>130</v>
      </c>
      <c r="D12" s="132" t="s">
        <v>131</v>
      </c>
      <c r="E12" s="272">
        <v>3450</v>
      </c>
      <c r="F12" s="272">
        <f t="shared" si="0"/>
        <v>759</v>
      </c>
      <c r="G12" s="272">
        <f>(E12+F12)*Имен_ячейки!$M$2</f>
        <v>547.17000000000007</v>
      </c>
      <c r="H12" s="272">
        <f t="shared" si="1"/>
        <v>3661.83</v>
      </c>
      <c r="I12" s="275">
        <f>H12*Имен_ячейки!$M$4</f>
        <v>329564.7</v>
      </c>
      <c r="J12" s="276">
        <f>I12/Имен_ячейки!$M$3</f>
        <v>4394.1959999999999</v>
      </c>
    </row>
    <row r="13" spans="1:15">
      <c r="A13" s="132">
        <v>12</v>
      </c>
      <c r="B13" s="132" t="s">
        <v>346</v>
      </c>
      <c r="C13" s="132" t="s">
        <v>138</v>
      </c>
      <c r="D13" s="132" t="s">
        <v>135</v>
      </c>
      <c r="E13" s="272">
        <v>2700</v>
      </c>
      <c r="F13" s="272">
        <f t="shared" si="0"/>
        <v>594</v>
      </c>
      <c r="G13" s="272">
        <f>(E13+F13)*Имен_ячейки!$M$2</f>
        <v>428.22</v>
      </c>
      <c r="H13" s="272">
        <f t="shared" si="1"/>
        <v>2865.7799999999997</v>
      </c>
      <c r="I13" s="275">
        <f>H13*Имен_ячейки!$M$4</f>
        <v>257920.19999999998</v>
      </c>
      <c r="J13" s="276">
        <f>I13/Имен_ячейки!$M$3</f>
        <v>3438.9359999999997</v>
      </c>
    </row>
    <row r="14" spans="1:15">
      <c r="A14" s="132">
        <v>13</v>
      </c>
      <c r="B14" s="132" t="s">
        <v>347</v>
      </c>
      <c r="C14" s="132" t="s">
        <v>140</v>
      </c>
      <c r="D14" s="132" t="s">
        <v>141</v>
      </c>
      <c r="E14" s="272">
        <v>8500</v>
      </c>
      <c r="F14" s="272">
        <f t="shared" si="0"/>
        <v>1870</v>
      </c>
      <c r="G14" s="272">
        <f>(E14+F14)*Имен_ячейки!$M$2</f>
        <v>1348.1000000000001</v>
      </c>
      <c r="H14" s="272">
        <f t="shared" si="1"/>
        <v>9021.9</v>
      </c>
      <c r="I14" s="275">
        <f>H14*Имен_ячейки!$M$4</f>
        <v>811971</v>
      </c>
      <c r="J14" s="276">
        <f>I14/Имен_ячейки!$M$3</f>
        <v>10826.28</v>
      </c>
    </row>
    <row r="15" spans="1:15" ht="15" customHeight="1">
      <c r="A15" s="132">
        <v>14</v>
      </c>
      <c r="B15" s="132" t="s">
        <v>348</v>
      </c>
      <c r="C15" s="132" t="s">
        <v>142</v>
      </c>
      <c r="D15" s="132" t="s">
        <v>143</v>
      </c>
      <c r="E15" s="272">
        <v>4650</v>
      </c>
      <c r="F15" s="272">
        <f t="shared" si="0"/>
        <v>1023</v>
      </c>
      <c r="G15" s="272">
        <f>(E15+F15)*Имен_ячейки!$M$2</f>
        <v>737.49</v>
      </c>
      <c r="H15" s="272">
        <f t="shared" si="1"/>
        <v>4935.51</v>
      </c>
      <c r="I15" s="275">
        <f>H15*Имен_ячейки!$M$4</f>
        <v>444195.9</v>
      </c>
      <c r="J15" s="276">
        <f>I15/Имен_ячейки!$M$3</f>
        <v>5922.6120000000001</v>
      </c>
      <c r="L15" s="134" t="s">
        <v>996</v>
      </c>
      <c r="M15" s="276">
        <f>SUM(J2:J31)</f>
        <v>144174.20759999997</v>
      </c>
      <c r="N15" s="271">
        <v>144174.20759999997</v>
      </c>
    </row>
    <row r="16" spans="1:15">
      <c r="A16" s="132">
        <v>15</v>
      </c>
      <c r="B16" s="132" t="s">
        <v>349</v>
      </c>
      <c r="C16" s="132" t="s">
        <v>144</v>
      </c>
      <c r="D16" s="132" t="s">
        <v>145</v>
      </c>
      <c r="E16" s="272">
        <v>2070</v>
      </c>
      <c r="F16" s="272">
        <f t="shared" si="0"/>
        <v>455.4</v>
      </c>
      <c r="G16" s="272">
        <f>(E16+F16)*Имен_ячейки!$M$2</f>
        <v>328.30200000000002</v>
      </c>
      <c r="H16" s="272">
        <f t="shared" si="1"/>
        <v>2197.098</v>
      </c>
      <c r="I16" s="275">
        <f>H16*Имен_ячейки!$M$4</f>
        <v>197738.82</v>
      </c>
      <c r="J16" s="276">
        <f>I16/Имен_ячейки!$M$3</f>
        <v>2636.5176000000001</v>
      </c>
    </row>
    <row r="17" spans="1:14">
      <c r="A17" s="132">
        <v>16</v>
      </c>
      <c r="B17" s="132" t="s">
        <v>350</v>
      </c>
      <c r="C17" s="132" t="s">
        <v>147</v>
      </c>
      <c r="D17" s="132" t="s">
        <v>148</v>
      </c>
      <c r="E17" s="272">
        <v>6400</v>
      </c>
      <c r="F17" s="272">
        <f t="shared" si="0"/>
        <v>1408</v>
      </c>
      <c r="G17" s="272">
        <f>(E17+F17)*Имен_ячейки!$M$2</f>
        <v>1015.0400000000001</v>
      </c>
      <c r="H17" s="272">
        <f t="shared" si="1"/>
        <v>6792.96</v>
      </c>
      <c r="I17" s="275">
        <f>H17*Имен_ячейки!$M$4</f>
        <v>611366.40000000002</v>
      </c>
      <c r="J17" s="276">
        <f>I17/Имен_ячейки!$M$3</f>
        <v>8151.5520000000006</v>
      </c>
    </row>
    <row r="18" spans="1:14" ht="16">
      <c r="A18" s="132">
        <v>17</v>
      </c>
      <c r="B18" s="132" t="s">
        <v>350</v>
      </c>
      <c r="C18" s="132" t="s">
        <v>149</v>
      </c>
      <c r="D18" s="132" t="s">
        <v>150</v>
      </c>
      <c r="E18" s="272">
        <v>2400</v>
      </c>
      <c r="F18" s="272">
        <f t="shared" si="0"/>
        <v>528</v>
      </c>
      <c r="G18" s="272">
        <f>(E18+F18)*Имен_ячейки!$M$2</f>
        <v>380.64</v>
      </c>
      <c r="H18" s="272">
        <f t="shared" si="1"/>
        <v>2547.36</v>
      </c>
      <c r="I18" s="275">
        <f>H18*Имен_ячейки!$M$4</f>
        <v>229262.40000000002</v>
      </c>
      <c r="J18" s="276">
        <f>I18/Имен_ячейки!$M$3</f>
        <v>3056.8320000000003</v>
      </c>
      <c r="L18" s="51" t="s">
        <v>59</v>
      </c>
      <c r="M18" s="53" t="s">
        <v>60</v>
      </c>
      <c r="N18" s="52">
        <v>5</v>
      </c>
    </row>
    <row r="19" spans="1:14">
      <c r="A19" s="132">
        <v>18</v>
      </c>
      <c r="B19" s="132" t="s">
        <v>351</v>
      </c>
      <c r="C19" s="132" t="s">
        <v>152</v>
      </c>
      <c r="D19" s="132" t="s">
        <v>153</v>
      </c>
      <c r="E19" s="272">
        <v>3100</v>
      </c>
      <c r="F19" s="272">
        <f t="shared" si="0"/>
        <v>682</v>
      </c>
      <c r="G19" s="272">
        <f>(E19+F19)*Имен_ячейки!$M$2</f>
        <v>491.66</v>
      </c>
      <c r="H19" s="272">
        <f t="shared" si="1"/>
        <v>3290.34</v>
      </c>
      <c r="I19" s="275">
        <f>H19*Имен_ячейки!$M$4</f>
        <v>296130.60000000003</v>
      </c>
      <c r="J19" s="276">
        <f>I19/Имен_ячейки!$M$3</f>
        <v>3948.4080000000004</v>
      </c>
      <c r="L19" s="54"/>
      <c r="M19" s="59"/>
      <c r="N19" s="60" t="s">
        <v>893</v>
      </c>
    </row>
    <row r="20" spans="1:14">
      <c r="A20" s="132">
        <v>19</v>
      </c>
      <c r="B20" s="132" t="s">
        <v>352</v>
      </c>
      <c r="C20" s="132" t="s">
        <v>154</v>
      </c>
      <c r="D20" s="132" t="s">
        <v>155</v>
      </c>
      <c r="E20" s="272">
        <v>3480</v>
      </c>
      <c r="F20" s="272">
        <f t="shared" si="0"/>
        <v>765.6</v>
      </c>
      <c r="G20" s="272">
        <f>(E20+F20)*Имен_ячейки!$M$2</f>
        <v>551.92800000000011</v>
      </c>
      <c r="H20" s="272">
        <f t="shared" si="1"/>
        <v>3693.6720000000005</v>
      </c>
      <c r="I20" s="275">
        <f>H20*Имен_ячейки!$M$4</f>
        <v>332430.48000000004</v>
      </c>
      <c r="J20" s="276">
        <f>I20/Имен_ячейки!$M$3</f>
        <v>4432.4064000000008</v>
      </c>
      <c r="L20" s="55" t="s">
        <v>235</v>
      </c>
      <c r="M20" s="55"/>
      <c r="N20" s="57" t="str">
        <f t="array" ref="N20">IF(SUM(COUNTIF(M15,N15))=1,"ДА","НЕТ")</f>
        <v>ДА</v>
      </c>
    </row>
    <row r="21" spans="1:14">
      <c r="A21" s="132">
        <v>20</v>
      </c>
      <c r="B21" s="132" t="s">
        <v>353</v>
      </c>
      <c r="C21" s="132" t="s">
        <v>156</v>
      </c>
      <c r="D21" s="132" t="s">
        <v>157</v>
      </c>
      <c r="E21" s="272">
        <v>900</v>
      </c>
      <c r="F21" s="272">
        <f t="shared" si="0"/>
        <v>198</v>
      </c>
      <c r="G21" s="272">
        <f>(E21+F21)*Имен_ячейки!$M$2</f>
        <v>142.74</v>
      </c>
      <c r="H21" s="272">
        <f t="shared" si="1"/>
        <v>955.26</v>
      </c>
      <c r="I21" s="275">
        <f>H21*Имен_ячейки!$M$4</f>
        <v>85973.4</v>
      </c>
      <c r="J21" s="276">
        <f>I21/Имен_ячейки!$M$3</f>
        <v>1146.3119999999999</v>
      </c>
    </row>
    <row r="22" spans="1:14">
      <c r="A22" s="132">
        <v>21</v>
      </c>
      <c r="B22" s="132" t="s">
        <v>354</v>
      </c>
      <c r="C22" s="132" t="s">
        <v>159</v>
      </c>
      <c r="D22" s="132" t="s">
        <v>160</v>
      </c>
      <c r="E22" s="272">
        <v>905</v>
      </c>
      <c r="F22" s="272">
        <f t="shared" si="0"/>
        <v>199.1</v>
      </c>
      <c r="G22" s="272">
        <f>(E22+F22)*Имен_ячейки!$M$2</f>
        <v>143.53299999999999</v>
      </c>
      <c r="H22" s="272">
        <f t="shared" si="1"/>
        <v>960.56699999999989</v>
      </c>
      <c r="I22" s="275">
        <f>H22*Имен_ячейки!$M$4</f>
        <v>86451.029999999984</v>
      </c>
      <c r="J22" s="276">
        <f>I22/Имен_ячейки!$M$3</f>
        <v>1152.6803999999997</v>
      </c>
    </row>
    <row r="23" spans="1:14">
      <c r="A23" s="132">
        <v>22</v>
      </c>
      <c r="B23" s="132" t="s">
        <v>355</v>
      </c>
      <c r="C23" s="132" t="s">
        <v>161</v>
      </c>
      <c r="D23" s="132" t="s">
        <v>162</v>
      </c>
      <c r="E23" s="272">
        <v>5750</v>
      </c>
      <c r="F23" s="272">
        <f t="shared" si="0"/>
        <v>1265</v>
      </c>
      <c r="G23" s="272">
        <f>(E23+F23)*Имен_ячейки!$M$2</f>
        <v>911.95</v>
      </c>
      <c r="H23" s="272">
        <f t="shared" si="1"/>
        <v>6103.05</v>
      </c>
      <c r="I23" s="275">
        <f>H23*Имен_ячейки!$M$4</f>
        <v>549274.5</v>
      </c>
      <c r="J23" s="276">
        <f>I23/Имен_ячейки!$M$3</f>
        <v>7323.66</v>
      </c>
    </row>
    <row r="24" spans="1:14">
      <c r="A24" s="132">
        <v>23</v>
      </c>
      <c r="B24" s="132" t="s">
        <v>356</v>
      </c>
      <c r="C24" s="132" t="s">
        <v>164</v>
      </c>
      <c r="D24" s="132" t="s">
        <v>165</v>
      </c>
      <c r="E24" s="272">
        <v>1800</v>
      </c>
      <c r="F24" s="272">
        <f t="shared" si="0"/>
        <v>396</v>
      </c>
      <c r="G24" s="272">
        <f>(E24+F24)*Имен_ячейки!$M$2</f>
        <v>285.48</v>
      </c>
      <c r="H24" s="272">
        <f t="shared" si="1"/>
        <v>1910.52</v>
      </c>
      <c r="I24" s="275">
        <f>H24*Имен_ячейки!$M$4</f>
        <v>171946.8</v>
      </c>
      <c r="J24" s="276">
        <f>I24/Имен_ячейки!$M$3</f>
        <v>2292.6239999999998</v>
      </c>
    </row>
    <row r="25" spans="1:14">
      <c r="A25" s="132">
        <v>24</v>
      </c>
      <c r="B25" s="132" t="s">
        <v>357</v>
      </c>
      <c r="C25" s="132" t="s">
        <v>166</v>
      </c>
      <c r="D25" s="132" t="s">
        <v>165</v>
      </c>
      <c r="E25" s="272">
        <v>3000</v>
      </c>
      <c r="F25" s="272">
        <f t="shared" si="0"/>
        <v>660</v>
      </c>
      <c r="G25" s="272">
        <f>(E25+F25)*Имен_ячейки!$M$2</f>
        <v>475.8</v>
      </c>
      <c r="H25" s="272">
        <f t="shared" si="1"/>
        <v>3184.2</v>
      </c>
      <c r="I25" s="275">
        <f>H25*Имен_ячейки!$M$4</f>
        <v>286578</v>
      </c>
      <c r="J25" s="276">
        <f>I25/Имен_ячейки!$M$3</f>
        <v>3821.04</v>
      </c>
    </row>
    <row r="26" spans="1:14">
      <c r="A26" s="132">
        <v>25</v>
      </c>
      <c r="B26" s="132" t="s">
        <v>358</v>
      </c>
      <c r="C26" s="132" t="s">
        <v>167</v>
      </c>
      <c r="D26" s="132" t="s">
        <v>168</v>
      </c>
      <c r="E26" s="272">
        <v>4750</v>
      </c>
      <c r="F26" s="272">
        <f t="shared" si="0"/>
        <v>1045</v>
      </c>
      <c r="G26" s="272">
        <f>(E26+F26)*Имен_ячейки!$M$2</f>
        <v>753.35</v>
      </c>
      <c r="H26" s="272">
        <f t="shared" si="1"/>
        <v>5041.6499999999996</v>
      </c>
      <c r="I26" s="275">
        <f>H26*Имен_ячейки!$M$4</f>
        <v>453748.49999999994</v>
      </c>
      <c r="J26" s="276">
        <f>I26/Имен_ячейки!$M$3</f>
        <v>6049.98</v>
      </c>
    </row>
    <row r="27" spans="1:14">
      <c r="A27" s="132">
        <v>26</v>
      </c>
      <c r="B27" s="132" t="s">
        <v>359</v>
      </c>
      <c r="C27" s="132" t="s">
        <v>170</v>
      </c>
      <c r="D27" s="132" t="s">
        <v>171</v>
      </c>
      <c r="E27" s="272">
        <v>1800</v>
      </c>
      <c r="F27" s="272">
        <f t="shared" si="0"/>
        <v>396</v>
      </c>
      <c r="G27" s="272">
        <f>(E27+F27)*Имен_ячейки!$M$2</f>
        <v>285.48</v>
      </c>
      <c r="H27" s="272">
        <f t="shared" si="1"/>
        <v>1910.52</v>
      </c>
      <c r="I27" s="275">
        <f>H27*Имен_ячейки!$M$4</f>
        <v>171946.8</v>
      </c>
      <c r="J27" s="276">
        <f>I27/Имен_ячейки!$M$3</f>
        <v>2292.6239999999998</v>
      </c>
    </row>
    <row r="28" spans="1:14">
      <c r="A28" s="132">
        <v>27</v>
      </c>
      <c r="B28" s="132" t="s">
        <v>360</v>
      </c>
      <c r="C28" s="132" t="s">
        <v>173</v>
      </c>
      <c r="D28" s="132" t="s">
        <v>174</v>
      </c>
      <c r="E28" s="272">
        <v>10880</v>
      </c>
      <c r="F28" s="272">
        <f t="shared" si="0"/>
        <v>2393.6</v>
      </c>
      <c r="G28" s="272">
        <f>(E28+F28)*Имен_ячейки!$M$2</f>
        <v>1725.5680000000002</v>
      </c>
      <c r="H28" s="272">
        <f t="shared" si="1"/>
        <v>11548.031999999999</v>
      </c>
      <c r="I28" s="275">
        <f>H28*Имен_ячейки!$M$4</f>
        <v>1039322.8799999999</v>
      </c>
      <c r="J28" s="276">
        <f>I28/Имен_ячейки!$M$3</f>
        <v>13857.638399999998</v>
      </c>
    </row>
    <row r="29" spans="1:14">
      <c r="A29" s="132">
        <v>28</v>
      </c>
      <c r="B29" s="132" t="s">
        <v>361</v>
      </c>
      <c r="C29" s="132" t="s">
        <v>167</v>
      </c>
      <c r="D29" s="132" t="s">
        <v>176</v>
      </c>
      <c r="E29" s="272">
        <v>5000</v>
      </c>
      <c r="F29" s="272">
        <f t="shared" si="0"/>
        <v>1100</v>
      </c>
      <c r="G29" s="272">
        <f>(E29+F29)*Имен_ячейки!$M$2</f>
        <v>793</v>
      </c>
      <c r="H29" s="272">
        <f t="shared" si="1"/>
        <v>5307</v>
      </c>
      <c r="I29" s="275">
        <f>H29*Имен_ячейки!$M$4</f>
        <v>477630</v>
      </c>
      <c r="J29" s="276">
        <f>I29/Имен_ячейки!$M$3</f>
        <v>6368.4</v>
      </c>
    </row>
    <row r="30" spans="1:14">
      <c r="A30" s="132">
        <v>29</v>
      </c>
      <c r="B30" s="132" t="s">
        <v>362</v>
      </c>
      <c r="C30" s="132" t="s">
        <v>178</v>
      </c>
      <c r="D30" s="132" t="s">
        <v>168</v>
      </c>
      <c r="E30" s="272">
        <v>1900</v>
      </c>
      <c r="F30" s="272">
        <f t="shared" si="0"/>
        <v>418</v>
      </c>
      <c r="G30" s="272">
        <f>(E30+F30)*Имен_ячейки!$M$2</f>
        <v>301.34000000000003</v>
      </c>
      <c r="H30" s="272">
        <f t="shared" si="1"/>
        <v>2016.6599999999999</v>
      </c>
      <c r="I30" s="275">
        <f>H30*Имен_ячейки!$M$4</f>
        <v>181499.4</v>
      </c>
      <c r="J30" s="276">
        <f>I30/Имен_ячейки!$M$3</f>
        <v>2419.9919999999997</v>
      </c>
    </row>
    <row r="31" spans="1:14">
      <c r="A31" s="132">
        <v>30</v>
      </c>
      <c r="B31" s="132" t="s">
        <v>363</v>
      </c>
      <c r="C31" s="132" t="s">
        <v>180</v>
      </c>
      <c r="D31" s="132" t="s">
        <v>181</v>
      </c>
      <c r="E31" s="272">
        <v>3450</v>
      </c>
      <c r="F31" s="272">
        <f t="shared" si="0"/>
        <v>759</v>
      </c>
      <c r="G31" s="272">
        <f>(E31+F31)*Имен_ячейки!$M$2</f>
        <v>547.17000000000007</v>
      </c>
      <c r="H31" s="272">
        <f t="shared" si="1"/>
        <v>3661.83</v>
      </c>
      <c r="I31" s="275">
        <f>H31*Имен_ячейки!$M$4</f>
        <v>329564.7</v>
      </c>
      <c r="J31" s="276">
        <f>I31/Имен_ячейки!$M$3</f>
        <v>4394.1959999999999</v>
      </c>
    </row>
  </sheetData>
  <conditionalFormatting sqref="N20">
    <cfRule type="cellIs" dxfId="89" priority="1" operator="equal">
      <formula>"нет"</formula>
    </cfRule>
    <cfRule type="cellIs" dxfId="88" priority="2" operator="equal">
      <formula>"да"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4" tint="0.59999389629810485"/>
  </sheetPr>
  <dimension ref="A1:J36"/>
  <sheetViews>
    <sheetView showGridLines="0" zoomScale="130" zoomScaleNormal="130" workbookViewId="0">
      <selection activeCell="F6" sqref="F6"/>
    </sheetView>
  </sheetViews>
  <sheetFormatPr baseColWidth="10" defaultColWidth="9.1640625" defaultRowHeight="16"/>
  <cols>
    <col min="1" max="1" width="11" style="135" bestFit="1" customWidth="1"/>
    <col min="2" max="2" width="8" style="135" bestFit="1" customWidth="1"/>
    <col min="3" max="3" width="18.33203125" style="135" customWidth="1"/>
    <col min="4" max="4" width="14.33203125" style="135" customWidth="1"/>
    <col min="5" max="5" width="15.6640625" style="135" bestFit="1" customWidth="1"/>
    <col min="6" max="6" width="16.5" style="135" bestFit="1" customWidth="1"/>
    <col min="7" max="7" width="11" style="135" customWidth="1"/>
    <col min="8" max="16384" width="9.1640625" style="135"/>
  </cols>
  <sheetData>
    <row r="1" spans="1:10" ht="32">
      <c r="A1" s="119" t="s">
        <v>394</v>
      </c>
      <c r="B1" s="119" t="s">
        <v>395</v>
      </c>
      <c r="C1" s="138" t="s">
        <v>396</v>
      </c>
      <c r="D1" s="138" t="s">
        <v>397</v>
      </c>
      <c r="E1" s="229" t="s">
        <v>892</v>
      </c>
      <c r="F1"/>
      <c r="G1" s="320" t="s">
        <v>1072</v>
      </c>
      <c r="H1"/>
      <c r="I1"/>
      <c r="J1"/>
    </row>
    <row r="2" spans="1:10" ht="14.25" customHeight="1">
      <c r="A2" s="62">
        <v>3838.9326999999998</v>
      </c>
      <c r="B2" s="62">
        <f>ROUND(A2,1)</f>
        <v>3838.9</v>
      </c>
      <c r="C2" s="62">
        <f>_xlfn.CEILING.MATH(A2:A10,5,0)</f>
        <v>3840</v>
      </c>
      <c r="D2" s="62">
        <f>INT(A2)</f>
        <v>3838</v>
      </c>
      <c r="E2" s="228">
        <v>3838</v>
      </c>
      <c r="F2"/>
      <c r="G2" s="321" t="s">
        <v>1073</v>
      </c>
      <c r="H2"/>
      <c r="I2"/>
      <c r="J2"/>
    </row>
    <row r="3" spans="1:10">
      <c r="A3" s="62">
        <v>5097.2569999999996</v>
      </c>
      <c r="B3" s="62">
        <f t="shared" ref="B3:B10" si="0">ROUND(A3,1)</f>
        <v>5097.3</v>
      </c>
      <c r="C3" s="62">
        <f t="shared" ref="C3:C10" si="1">_xlfn.CEILING.MATH(A3:A11,5,0)</f>
        <v>5100</v>
      </c>
      <c r="D3" s="62">
        <f t="shared" ref="D3:D10" si="2">INT(A3)</f>
        <v>5097</v>
      </c>
      <c r="E3" s="228">
        <v>5097</v>
      </c>
      <c r="F3"/>
      <c r="G3" s="318">
        <v>-11</v>
      </c>
      <c r="H3" s="319">
        <f>_xlfn.CEILING.MATH(G3,10,0)</f>
        <v>-10</v>
      </c>
      <c r="I3" t="s">
        <v>1079</v>
      </c>
      <c r="J3"/>
    </row>
    <row r="4" spans="1:10">
      <c r="A4" s="62">
        <v>1501.6666700000001</v>
      </c>
      <c r="B4" s="62">
        <f t="shared" si="0"/>
        <v>1501.7</v>
      </c>
      <c r="C4" s="62">
        <f t="shared" si="1"/>
        <v>1505</v>
      </c>
      <c r="D4" s="62">
        <f t="shared" si="2"/>
        <v>1501</v>
      </c>
      <c r="E4" s="228">
        <v>1501</v>
      </c>
      <c r="F4"/>
      <c r="G4" s="336">
        <v>-11</v>
      </c>
      <c r="H4" s="337">
        <f>_xlfn.CEILING.MATH(G4,10,1)</f>
        <v>-20</v>
      </c>
      <c r="I4" t="s">
        <v>1078</v>
      </c>
      <c r="J4"/>
    </row>
    <row r="5" spans="1:10">
      <c r="A5" s="62">
        <v>5750</v>
      </c>
      <c r="B5" s="62">
        <f t="shared" si="0"/>
        <v>5750</v>
      </c>
      <c r="C5" s="62">
        <f t="shared" si="1"/>
        <v>5750</v>
      </c>
      <c r="D5" s="62">
        <f t="shared" si="2"/>
        <v>5750</v>
      </c>
      <c r="E5" s="228">
        <v>5750</v>
      </c>
      <c r="F5"/>
      <c r="I5"/>
      <c r="J5"/>
    </row>
    <row r="6" spans="1:10">
      <c r="A6" s="62">
        <v>4957.5</v>
      </c>
      <c r="B6" s="62">
        <f t="shared" si="0"/>
        <v>4957.5</v>
      </c>
      <c r="C6" s="62">
        <f t="shared" si="1"/>
        <v>4960</v>
      </c>
      <c r="D6" s="62">
        <f t="shared" si="2"/>
        <v>4957</v>
      </c>
      <c r="E6" s="228">
        <v>4957</v>
      </c>
    </row>
    <row r="7" spans="1:10">
      <c r="A7" s="62">
        <v>458.31729999999999</v>
      </c>
      <c r="B7" s="62">
        <f t="shared" si="0"/>
        <v>458.3</v>
      </c>
      <c r="C7" s="62">
        <f t="shared" si="1"/>
        <v>460</v>
      </c>
      <c r="D7" s="62">
        <f t="shared" si="2"/>
        <v>458</v>
      </c>
      <c r="E7" s="228">
        <v>458</v>
      </c>
    </row>
    <row r="8" spans="1:10">
      <c r="A8" s="62">
        <v>3718.75</v>
      </c>
      <c r="B8" s="62">
        <f t="shared" si="0"/>
        <v>3718.8</v>
      </c>
      <c r="C8" s="62">
        <f t="shared" si="1"/>
        <v>3720</v>
      </c>
      <c r="D8" s="62">
        <f t="shared" si="2"/>
        <v>3718</v>
      </c>
      <c r="E8" s="228">
        <v>3718</v>
      </c>
    </row>
    <row r="9" spans="1:10">
      <c r="A9" s="62">
        <v>48.666699999999999</v>
      </c>
      <c r="B9" s="62">
        <f t="shared" si="0"/>
        <v>48.7</v>
      </c>
      <c r="C9" s="62">
        <f t="shared" si="1"/>
        <v>50</v>
      </c>
      <c r="D9" s="62">
        <f t="shared" si="2"/>
        <v>48</v>
      </c>
      <c r="E9" s="228">
        <v>48</v>
      </c>
    </row>
    <row r="10" spans="1:10">
      <c r="A10" s="62">
        <v>3893.3330000000001</v>
      </c>
      <c r="B10" s="62">
        <f t="shared" si="0"/>
        <v>3893.3</v>
      </c>
      <c r="C10" s="62">
        <f t="shared" si="1"/>
        <v>3895</v>
      </c>
      <c r="D10" s="62">
        <f t="shared" si="2"/>
        <v>3893</v>
      </c>
      <c r="E10" s="228">
        <v>3893</v>
      </c>
    </row>
    <row r="16" spans="1:10">
      <c r="G16" s="51" t="s">
        <v>59</v>
      </c>
      <c r="H16" s="52"/>
      <c r="I16" s="53" t="s">
        <v>60</v>
      </c>
      <c r="J16" s="52">
        <v>3</v>
      </c>
    </row>
    <row r="17" spans="1:10">
      <c r="G17" s="54"/>
      <c r="H17" s="54"/>
      <c r="I17" s="59"/>
      <c r="J17" s="60" t="s">
        <v>893</v>
      </c>
    </row>
    <row r="18" spans="1:10">
      <c r="G18" s="55" t="s">
        <v>894</v>
      </c>
      <c r="H18" s="56"/>
      <c r="I18" s="56"/>
      <c r="J18" s="57" t="str">
        <f t="array" ref="J18">IF(SUM(COUNTIF(D2:D10,E2:E10))=COUNTA(A2:A10),"ДА","НЕТ")</f>
        <v>ДА</v>
      </c>
    </row>
    <row r="22" spans="1:10">
      <c r="G22"/>
    </row>
    <row r="23" spans="1:10">
      <c r="G23" s="86"/>
    </row>
    <row r="24" spans="1:10">
      <c r="G24"/>
    </row>
    <row r="25" spans="1:10">
      <c r="A25" s="86"/>
      <c r="B25"/>
      <c r="C25"/>
      <c r="D25"/>
      <c r="E25"/>
      <c r="G25"/>
    </row>
    <row r="26" spans="1:10">
      <c r="A26" s="86"/>
      <c r="B26"/>
      <c r="C26"/>
      <c r="D26"/>
      <c r="E26"/>
      <c r="F26"/>
      <c r="G26"/>
    </row>
    <row r="27" spans="1:10">
      <c r="A27" s="86"/>
      <c r="B27"/>
      <c r="C27"/>
      <c r="D27"/>
      <c r="E27"/>
      <c r="F27"/>
      <c r="G27"/>
    </row>
    <row r="28" spans="1:10">
      <c r="A28" s="86"/>
      <c r="B28" s="86"/>
      <c r="C28" s="86"/>
      <c r="D28" s="86"/>
      <c r="E28" s="86"/>
      <c r="F28"/>
      <c r="G28"/>
    </row>
    <row r="29" spans="1:10">
      <c r="A29" s="86"/>
      <c r="B29" s="86"/>
      <c r="C29" s="86"/>
      <c r="D29" s="86"/>
      <c r="E29" s="86"/>
      <c r="F29" s="86"/>
      <c r="G29" s="86"/>
    </row>
    <row r="30" spans="1:10">
      <c r="A30" s="86"/>
      <c r="B30" s="86"/>
      <c r="C30" s="86"/>
      <c r="D30" s="86"/>
      <c r="E30" s="86"/>
      <c r="F30" s="86"/>
      <c r="G30" s="86"/>
    </row>
    <row r="31" spans="1:10">
      <c r="A31" s="86"/>
      <c r="B31" s="86"/>
      <c r="C31" s="86"/>
      <c r="D31" s="86"/>
      <c r="E31" s="86"/>
      <c r="F31" s="86"/>
      <c r="G31" s="86"/>
    </row>
    <row r="32" spans="1:10">
      <c r="A32" s="86"/>
      <c r="B32" s="86"/>
      <c r="C32" s="86"/>
      <c r="D32" s="86"/>
      <c r="E32" s="86"/>
      <c r="F32" s="86"/>
      <c r="G32" s="86"/>
    </row>
    <row r="33" spans="1:7">
      <c r="A33" s="86"/>
      <c r="B33" s="86"/>
      <c r="C33" s="86"/>
      <c r="D33" s="86"/>
      <c r="E33" s="86"/>
      <c r="F33" s="86"/>
      <c r="G33" s="86"/>
    </row>
    <row r="34" spans="1:7">
      <c r="A34" s="86"/>
      <c r="B34" s="86"/>
      <c r="C34" s="86"/>
      <c r="D34" s="86"/>
      <c r="E34" s="86"/>
      <c r="F34" s="86"/>
      <c r="G34" s="86"/>
    </row>
    <row r="35" spans="1:7">
      <c r="A35" s="86"/>
      <c r="B35" s="86"/>
      <c r="C35" s="86"/>
      <c r="D35" s="86"/>
      <c r="E35" s="86"/>
      <c r="F35" s="86"/>
      <c r="G35" s="86"/>
    </row>
    <row r="36" spans="1:7">
      <c r="F36" s="86"/>
      <c r="G36" s="86"/>
    </row>
  </sheetData>
  <conditionalFormatting sqref="J18">
    <cfRule type="cellIs" dxfId="87" priority="1" operator="equal">
      <formula>"нет"</formula>
    </cfRule>
    <cfRule type="cellIs" dxfId="86" priority="2" operator="equal">
      <formula>"да"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4" tint="0.59999389629810485"/>
  </sheetPr>
  <dimension ref="A1:S57"/>
  <sheetViews>
    <sheetView showGridLines="0" topLeftCell="E1" zoomScale="115" zoomScaleNormal="115" workbookViewId="0">
      <selection activeCell="R12" sqref="R12"/>
    </sheetView>
  </sheetViews>
  <sheetFormatPr baseColWidth="10" defaultColWidth="9.1640625" defaultRowHeight="16"/>
  <cols>
    <col min="1" max="1" width="19.83203125" style="115" customWidth="1"/>
    <col min="2" max="2" width="0.5" style="115" customWidth="1"/>
    <col min="3" max="3" width="16.6640625" style="115" bestFit="1" customWidth="1"/>
    <col min="4" max="4" width="11.5" style="115" bestFit="1" customWidth="1"/>
    <col min="5" max="5" width="12.83203125" style="115" bestFit="1" customWidth="1"/>
    <col min="6" max="6" width="4.5" style="115" bestFit="1" customWidth="1"/>
    <col min="7" max="7" width="15.1640625" style="115" customWidth="1"/>
    <col min="8" max="8" width="17.6640625" style="115" bestFit="1" customWidth="1"/>
    <col min="9" max="9" width="6.83203125" style="115" bestFit="1" customWidth="1"/>
    <col min="10" max="10" width="8.83203125" style="115" bestFit="1" customWidth="1"/>
    <col min="11" max="11" width="3" style="115" customWidth="1"/>
    <col min="12" max="12" width="2.5" style="115" customWidth="1"/>
    <col min="13" max="13" width="39.5" style="115" bestFit="1" customWidth="1"/>
    <col min="14" max="14" width="12.33203125" style="115" bestFit="1" customWidth="1"/>
    <col min="15" max="15" width="10.6640625" style="117" bestFit="1" customWidth="1"/>
    <col min="16" max="16384" width="9.1640625" style="115"/>
  </cols>
  <sheetData>
    <row r="1" spans="1:19" ht="19">
      <c r="A1" s="334" t="s">
        <v>1074</v>
      </c>
      <c r="C1" s="116"/>
      <c r="P1" s="51" t="s">
        <v>59</v>
      </c>
      <c r="Q1" s="52"/>
      <c r="R1" s="53" t="s">
        <v>60</v>
      </c>
      <c r="S1" s="52">
        <v>8</v>
      </c>
    </row>
    <row r="2" spans="1:19" ht="34.5" customHeight="1">
      <c r="A2" s="334" t="s">
        <v>289</v>
      </c>
      <c r="C2" s="25" t="s">
        <v>105</v>
      </c>
      <c r="D2" s="25" t="s">
        <v>106</v>
      </c>
      <c r="E2" s="25" t="s">
        <v>107</v>
      </c>
      <c r="F2" s="25" t="s">
        <v>290</v>
      </c>
      <c r="G2" s="25" t="s">
        <v>291</v>
      </c>
      <c r="H2" s="25" t="s">
        <v>292</v>
      </c>
      <c r="I2" s="25" t="s">
        <v>293</v>
      </c>
      <c r="J2" s="25" t="s">
        <v>108</v>
      </c>
      <c r="P2" s="54"/>
      <c r="Q2" s="54"/>
      <c r="R2" s="59"/>
      <c r="S2" s="60" t="s">
        <v>893</v>
      </c>
    </row>
    <row r="3" spans="1:19">
      <c r="A3" s="334" t="s">
        <v>294</v>
      </c>
      <c r="C3" s="88" t="s">
        <v>52</v>
      </c>
      <c r="D3" s="88" t="s">
        <v>115</v>
      </c>
      <c r="E3" s="88" t="s">
        <v>116</v>
      </c>
      <c r="F3" s="88" t="s">
        <v>295</v>
      </c>
      <c r="G3" s="61">
        <v>28010</v>
      </c>
      <c r="H3" s="62" t="s">
        <v>296</v>
      </c>
      <c r="I3" s="62" t="s">
        <v>297</v>
      </c>
      <c r="J3" s="62">
        <v>1510</v>
      </c>
      <c r="M3" s="119" t="s">
        <v>298</v>
      </c>
      <c r="N3" s="118">
        <f>COUNTA(C3:C56)</f>
        <v>54</v>
      </c>
      <c r="O3" s="231">
        <v>54</v>
      </c>
      <c r="P3" s="55" t="s">
        <v>895</v>
      </c>
      <c r="Q3" s="56"/>
      <c r="R3" s="56"/>
      <c r="S3" s="57" t="str">
        <f t="array" ref="S3">IF(SUM(COUNTIF(N3:N34,O3:O34))=COUNTA(M3:M34)+1,"ДА","НЕТ")</f>
        <v>ДА</v>
      </c>
    </row>
    <row r="4" spans="1:19">
      <c r="A4" s="335"/>
      <c r="C4" s="88" t="s">
        <v>117</v>
      </c>
      <c r="D4" s="88" t="s">
        <v>118</v>
      </c>
      <c r="E4" s="88" t="s">
        <v>119</v>
      </c>
      <c r="F4" s="88" t="s">
        <v>300</v>
      </c>
      <c r="G4" s="61">
        <v>28994</v>
      </c>
      <c r="H4" s="62" t="s">
        <v>301</v>
      </c>
      <c r="I4" s="62" t="s">
        <v>302</v>
      </c>
      <c r="J4" s="62">
        <v>5440</v>
      </c>
      <c r="O4" s="232"/>
    </row>
    <row r="5" spans="1:19">
      <c r="A5" s="334" t="s">
        <v>1075</v>
      </c>
      <c r="C5" s="88" t="s">
        <v>120</v>
      </c>
      <c r="D5" s="88" t="s">
        <v>121</v>
      </c>
      <c r="E5" s="88" t="s">
        <v>122</v>
      </c>
      <c r="F5" s="88" t="s">
        <v>295</v>
      </c>
      <c r="G5" s="61">
        <v>26452</v>
      </c>
      <c r="H5" s="62" t="s">
        <v>296</v>
      </c>
      <c r="I5" s="62" t="s">
        <v>304</v>
      </c>
      <c r="J5" s="62">
        <v>2050</v>
      </c>
      <c r="M5" s="230" t="s">
        <v>305</v>
      </c>
      <c r="N5" s="230"/>
      <c r="O5" s="233"/>
    </row>
    <row r="6" spans="1:19">
      <c r="A6" s="334" t="s">
        <v>299</v>
      </c>
      <c r="C6" s="88" t="s">
        <v>51</v>
      </c>
      <c r="D6" s="88" t="s">
        <v>123</v>
      </c>
      <c r="E6" s="88" t="s">
        <v>124</v>
      </c>
      <c r="F6" s="88" t="s">
        <v>300</v>
      </c>
      <c r="G6" s="61">
        <v>27599</v>
      </c>
      <c r="H6" s="62" t="s">
        <v>306</v>
      </c>
      <c r="I6" s="62" t="s">
        <v>304</v>
      </c>
      <c r="J6" s="62">
        <v>1800</v>
      </c>
      <c r="M6" s="121" t="s">
        <v>307</v>
      </c>
      <c r="N6" s="118">
        <f>COUNTIF(F3:F56,"м")</f>
        <v>30</v>
      </c>
      <c r="O6" s="231">
        <v>30</v>
      </c>
      <c r="P6" s="91"/>
    </row>
    <row r="7" spans="1:19">
      <c r="A7" s="334" t="s">
        <v>303</v>
      </c>
      <c r="C7" s="88" t="s">
        <v>50</v>
      </c>
      <c r="D7" s="88" t="s">
        <v>125</v>
      </c>
      <c r="E7" s="88" t="s">
        <v>126</v>
      </c>
      <c r="F7" s="88" t="s">
        <v>300</v>
      </c>
      <c r="G7" s="61">
        <v>32511</v>
      </c>
      <c r="H7" s="62" t="s">
        <v>308</v>
      </c>
      <c r="I7" s="62" t="s">
        <v>309</v>
      </c>
      <c r="J7" s="62">
        <v>5750</v>
      </c>
      <c r="M7" s="121" t="s">
        <v>310</v>
      </c>
      <c r="N7" s="118">
        <f>N3-N6</f>
        <v>24</v>
      </c>
      <c r="O7" s="231">
        <v>24</v>
      </c>
      <c r="P7" s="91"/>
    </row>
    <row r="8" spans="1:19">
      <c r="A8" s="335"/>
      <c r="C8" s="88" t="s">
        <v>127</v>
      </c>
      <c r="D8" s="88" t="s">
        <v>128</v>
      </c>
      <c r="E8" s="88" t="s">
        <v>129</v>
      </c>
      <c r="F8" s="88" t="s">
        <v>295</v>
      </c>
      <c r="G8" s="61">
        <v>28622</v>
      </c>
      <c r="H8" s="62" t="s">
        <v>306</v>
      </c>
      <c r="I8" s="62" t="s">
        <v>309</v>
      </c>
      <c r="J8" s="62">
        <v>4000</v>
      </c>
      <c r="M8" s="122"/>
      <c r="N8" s="123"/>
      <c r="O8" s="233"/>
      <c r="P8" s="91"/>
    </row>
    <row r="9" spans="1:19">
      <c r="C9" s="88" t="s">
        <v>49</v>
      </c>
      <c r="D9" s="88" t="s">
        <v>130</v>
      </c>
      <c r="E9" s="88" t="s">
        <v>131</v>
      </c>
      <c r="F9" s="88" t="s">
        <v>295</v>
      </c>
      <c r="G9" s="61">
        <v>25378</v>
      </c>
      <c r="H9" s="62" t="s">
        <v>296</v>
      </c>
      <c r="I9" s="62" t="s">
        <v>297</v>
      </c>
      <c r="J9" s="62">
        <v>3600</v>
      </c>
      <c r="M9" s="119" t="s">
        <v>311</v>
      </c>
      <c r="N9" s="124" t="s">
        <v>307</v>
      </c>
      <c r="O9" s="234" t="s">
        <v>295</v>
      </c>
      <c r="P9" s="91"/>
    </row>
    <row r="10" spans="1:19">
      <c r="C10" s="88" t="s">
        <v>48</v>
      </c>
      <c r="D10" s="88" t="s">
        <v>132</v>
      </c>
      <c r="E10" s="88" t="s">
        <v>133</v>
      </c>
      <c r="F10" s="88" t="s">
        <v>295</v>
      </c>
      <c r="G10" s="61">
        <v>25080</v>
      </c>
      <c r="H10" s="62" t="s">
        <v>306</v>
      </c>
      <c r="I10" s="62" t="s">
        <v>302</v>
      </c>
      <c r="J10" s="62">
        <v>7360</v>
      </c>
      <c r="M10" s="121" t="s">
        <v>302</v>
      </c>
      <c r="N10" s="118">
        <f>COUNTIFS($I$3:$I$56,M10,$F$3:$F$56,"м")</f>
        <v>7</v>
      </c>
      <c r="O10" s="231">
        <v>7</v>
      </c>
      <c r="P10" s="91"/>
    </row>
    <row r="11" spans="1:19">
      <c r="C11" s="88" t="s">
        <v>47</v>
      </c>
      <c r="D11" s="88" t="s">
        <v>134</v>
      </c>
      <c r="E11" s="88" t="s">
        <v>135</v>
      </c>
      <c r="F11" s="88" t="s">
        <v>300</v>
      </c>
      <c r="G11" s="61">
        <v>31225</v>
      </c>
      <c r="H11" s="62" t="s">
        <v>312</v>
      </c>
      <c r="I11" s="62" t="s">
        <v>304</v>
      </c>
      <c r="J11" s="62">
        <v>1800</v>
      </c>
      <c r="M11" s="121" t="s">
        <v>309</v>
      </c>
      <c r="N11" s="118">
        <f t="shared" ref="N11:N13" si="0">COUNTIFS($I$3:$I$56,M11,$F$3:$F$56,"м")</f>
        <v>4</v>
      </c>
      <c r="O11" s="231">
        <v>4</v>
      </c>
      <c r="P11" s="91"/>
    </row>
    <row r="12" spans="1:19">
      <c r="C12" s="88" t="s">
        <v>46</v>
      </c>
      <c r="D12" s="88" t="s">
        <v>136</v>
      </c>
      <c r="E12" s="88" t="s">
        <v>137</v>
      </c>
      <c r="F12" s="88" t="s">
        <v>295</v>
      </c>
      <c r="G12" s="61">
        <v>24630</v>
      </c>
      <c r="H12" s="62" t="s">
        <v>301</v>
      </c>
      <c r="I12" s="62" t="s">
        <v>297</v>
      </c>
      <c r="J12" s="62">
        <v>3000</v>
      </c>
      <c r="M12" s="121" t="s">
        <v>304</v>
      </c>
      <c r="N12" s="118">
        <f t="shared" si="0"/>
        <v>8</v>
      </c>
      <c r="O12" s="231">
        <v>8</v>
      </c>
    </row>
    <row r="13" spans="1:19">
      <c r="C13" s="88" t="s">
        <v>46</v>
      </c>
      <c r="D13" s="88" t="s">
        <v>130</v>
      </c>
      <c r="E13" s="88" t="s">
        <v>131</v>
      </c>
      <c r="F13" s="88" t="s">
        <v>295</v>
      </c>
      <c r="G13" s="61">
        <v>27823</v>
      </c>
      <c r="H13" s="62" t="s">
        <v>312</v>
      </c>
      <c r="I13" s="62" t="s">
        <v>297</v>
      </c>
      <c r="J13" s="62">
        <v>3450</v>
      </c>
      <c r="M13" s="121" t="s">
        <v>297</v>
      </c>
      <c r="N13" s="118">
        <f t="shared" si="0"/>
        <v>11</v>
      </c>
      <c r="O13" s="231">
        <v>11</v>
      </c>
    </row>
    <row r="14" spans="1:19">
      <c r="C14" s="88" t="s">
        <v>45</v>
      </c>
      <c r="D14" s="88" t="s">
        <v>138</v>
      </c>
      <c r="E14" s="88" t="s">
        <v>135</v>
      </c>
      <c r="F14" s="88" t="s">
        <v>300</v>
      </c>
      <c r="G14" s="61">
        <v>29407</v>
      </c>
      <c r="H14" s="62" t="s">
        <v>296</v>
      </c>
      <c r="I14" s="62" t="s">
        <v>304</v>
      </c>
      <c r="J14" s="62">
        <v>2700</v>
      </c>
      <c r="M14" s="125"/>
      <c r="N14" s="126"/>
      <c r="O14" s="231"/>
    </row>
    <row r="15" spans="1:19">
      <c r="C15" s="88" t="s">
        <v>139</v>
      </c>
      <c r="D15" s="88" t="s">
        <v>140</v>
      </c>
      <c r="E15" s="88" t="s">
        <v>141</v>
      </c>
      <c r="F15" s="88" t="s">
        <v>300</v>
      </c>
      <c r="G15" s="61">
        <v>25538</v>
      </c>
      <c r="H15" s="62" t="s">
        <v>312</v>
      </c>
      <c r="I15" s="62" t="s">
        <v>309</v>
      </c>
      <c r="J15" s="62">
        <v>8500</v>
      </c>
      <c r="M15" s="119" t="s">
        <v>313</v>
      </c>
      <c r="N15" s="237">
        <f>AVERAGE(J3:J56)</f>
        <v>3944.6296296296296</v>
      </c>
      <c r="O15" s="235">
        <v>3944.6296296296296</v>
      </c>
    </row>
    <row r="16" spans="1:19">
      <c r="C16" s="88" t="s">
        <v>43</v>
      </c>
      <c r="D16" s="88" t="s">
        <v>142</v>
      </c>
      <c r="E16" s="88" t="s">
        <v>143</v>
      </c>
      <c r="F16" s="88" t="s">
        <v>295</v>
      </c>
      <c r="G16" s="61">
        <v>24240</v>
      </c>
      <c r="H16" s="62" t="s">
        <v>314</v>
      </c>
      <c r="I16" s="62" t="s">
        <v>297</v>
      </c>
      <c r="J16" s="62">
        <v>4650</v>
      </c>
      <c r="M16" s="125"/>
      <c r="N16" s="126"/>
      <c r="O16" s="231"/>
    </row>
    <row r="17" spans="3:15">
      <c r="C17" s="88" t="s">
        <v>42</v>
      </c>
      <c r="D17" s="88" t="s">
        <v>144</v>
      </c>
      <c r="E17" s="88" t="s">
        <v>145</v>
      </c>
      <c r="F17" s="88" t="s">
        <v>295</v>
      </c>
      <c r="G17" s="61">
        <v>33232</v>
      </c>
      <c r="H17" s="62" t="s">
        <v>306</v>
      </c>
      <c r="I17" s="62" t="s">
        <v>304</v>
      </c>
      <c r="J17" s="62">
        <v>2070</v>
      </c>
      <c r="M17" s="230" t="s">
        <v>315</v>
      </c>
      <c r="N17" s="230"/>
      <c r="O17" s="233"/>
    </row>
    <row r="18" spans="3:15">
      <c r="C18" s="88" t="s">
        <v>146</v>
      </c>
      <c r="D18" s="88" t="s">
        <v>147</v>
      </c>
      <c r="E18" s="88" t="s">
        <v>148</v>
      </c>
      <c r="F18" s="88" t="s">
        <v>295</v>
      </c>
      <c r="G18" s="61">
        <v>28229</v>
      </c>
      <c r="H18" s="62" t="s">
        <v>306</v>
      </c>
      <c r="I18" s="62" t="s">
        <v>302</v>
      </c>
      <c r="J18" s="62">
        <v>6400</v>
      </c>
      <c r="M18" s="121" t="s">
        <v>307</v>
      </c>
      <c r="N18" s="237">
        <f>AVERAGEIF($F$3:$F$56,"м",$J$3:$J$56)</f>
        <v>4102</v>
      </c>
      <c r="O18" s="231">
        <v>4102</v>
      </c>
    </row>
    <row r="19" spans="3:15">
      <c r="C19" s="88" t="s">
        <v>41</v>
      </c>
      <c r="D19" s="88" t="s">
        <v>149</v>
      </c>
      <c r="E19" s="88" t="s">
        <v>150</v>
      </c>
      <c r="F19" s="88" t="s">
        <v>300</v>
      </c>
      <c r="G19" s="61">
        <v>29050</v>
      </c>
      <c r="H19" s="62" t="s">
        <v>296</v>
      </c>
      <c r="I19" s="62" t="s">
        <v>297</v>
      </c>
      <c r="J19" s="62">
        <v>2400</v>
      </c>
      <c r="M19" s="121" t="s">
        <v>310</v>
      </c>
      <c r="N19" s="237">
        <f>AVERAGEIF($F$3:$F$56,"ж",$J$3:$J$56)</f>
        <v>3747.9166666666665</v>
      </c>
      <c r="O19" s="235">
        <v>3747.9166666666665</v>
      </c>
    </row>
    <row r="20" spans="3:15">
      <c r="C20" s="88" t="s">
        <v>151</v>
      </c>
      <c r="D20" s="88" t="s">
        <v>152</v>
      </c>
      <c r="E20" s="88" t="s">
        <v>153</v>
      </c>
      <c r="F20" s="88" t="s">
        <v>300</v>
      </c>
      <c r="G20" s="61">
        <v>30801</v>
      </c>
      <c r="H20" s="62" t="s">
        <v>296</v>
      </c>
      <c r="I20" s="62" t="s">
        <v>304</v>
      </c>
      <c r="J20" s="62">
        <v>3100</v>
      </c>
      <c r="M20" s="127"/>
      <c r="N20" s="127"/>
      <c r="O20" s="233"/>
    </row>
    <row r="21" spans="3:15" ht="15.75" customHeight="1">
      <c r="C21" s="88" t="s">
        <v>40</v>
      </c>
      <c r="D21" s="88" t="s">
        <v>154</v>
      </c>
      <c r="E21" s="88" t="s">
        <v>155</v>
      </c>
      <c r="F21" s="88" t="s">
        <v>295</v>
      </c>
      <c r="G21" s="61">
        <v>23048</v>
      </c>
      <c r="H21" s="62" t="s">
        <v>316</v>
      </c>
      <c r="I21" s="62" t="s">
        <v>297</v>
      </c>
      <c r="J21" s="62">
        <v>3480</v>
      </c>
      <c r="M21" s="119" t="s">
        <v>317</v>
      </c>
      <c r="N21" s="128" t="s">
        <v>310</v>
      </c>
      <c r="O21" s="234" t="s">
        <v>300</v>
      </c>
    </row>
    <row r="22" spans="3:15">
      <c r="C22" s="88" t="s">
        <v>39</v>
      </c>
      <c r="D22" s="88" t="s">
        <v>156</v>
      </c>
      <c r="E22" s="88" t="s">
        <v>157</v>
      </c>
      <c r="F22" s="88" t="s">
        <v>300</v>
      </c>
      <c r="G22" s="61">
        <v>27294</v>
      </c>
      <c r="H22" s="62" t="s">
        <v>301</v>
      </c>
      <c r="I22" s="62" t="s">
        <v>304</v>
      </c>
      <c r="J22" s="62">
        <v>900</v>
      </c>
      <c r="M22" s="121" t="s">
        <v>296</v>
      </c>
      <c r="N22" s="237">
        <f>AVERAGEIFS($J$3:$J$56,$H$3:$H$56,M22,$F$3:$F$56,"ж")</f>
        <v>2517.1428571428573</v>
      </c>
      <c r="O22" s="231">
        <v>2517.1428571428573</v>
      </c>
    </row>
    <row r="23" spans="3:15">
      <c r="C23" s="88" t="s">
        <v>158</v>
      </c>
      <c r="D23" s="88" t="s">
        <v>159</v>
      </c>
      <c r="E23" s="88" t="s">
        <v>160</v>
      </c>
      <c r="F23" s="88" t="s">
        <v>295</v>
      </c>
      <c r="G23" s="61">
        <v>25494</v>
      </c>
      <c r="H23" s="62" t="s">
        <v>318</v>
      </c>
      <c r="I23" s="62" t="s">
        <v>304</v>
      </c>
      <c r="J23" s="62">
        <v>905</v>
      </c>
      <c r="M23" s="121" t="s">
        <v>301</v>
      </c>
      <c r="N23" s="237">
        <f t="shared" ref="N23:N30" si="1">AVERAGEIFS($J$3:$J$56,$H$3:$H$56,M23,$F$3:$F$56,"ж")</f>
        <v>4982.8571428571431</v>
      </c>
      <c r="O23" s="231">
        <v>4982.8571428571431</v>
      </c>
    </row>
    <row r="24" spans="3:15">
      <c r="C24" s="88" t="s">
        <v>38</v>
      </c>
      <c r="D24" s="88" t="s">
        <v>161</v>
      </c>
      <c r="E24" s="88" t="s">
        <v>162</v>
      </c>
      <c r="F24" s="88" t="s">
        <v>295</v>
      </c>
      <c r="G24" s="61">
        <v>34049</v>
      </c>
      <c r="H24" s="62" t="s">
        <v>296</v>
      </c>
      <c r="I24" s="62" t="s">
        <v>309</v>
      </c>
      <c r="J24" s="62">
        <v>5750</v>
      </c>
      <c r="M24" s="121" t="s">
        <v>318</v>
      </c>
      <c r="N24" s="237">
        <f t="shared" si="1"/>
        <v>1800</v>
      </c>
      <c r="O24" s="231">
        <v>1800</v>
      </c>
    </row>
    <row r="25" spans="3:15">
      <c r="C25" s="88" t="s">
        <v>163</v>
      </c>
      <c r="D25" s="88" t="s">
        <v>164</v>
      </c>
      <c r="E25" s="88" t="s">
        <v>165</v>
      </c>
      <c r="F25" s="88" t="s">
        <v>300</v>
      </c>
      <c r="G25" s="61">
        <v>34954</v>
      </c>
      <c r="H25" s="62" t="s">
        <v>318</v>
      </c>
      <c r="I25" s="62" t="s">
        <v>304</v>
      </c>
      <c r="J25" s="62">
        <v>1800</v>
      </c>
      <c r="M25" s="121" t="s">
        <v>308</v>
      </c>
      <c r="N25" s="237">
        <f t="shared" si="1"/>
        <v>5750</v>
      </c>
      <c r="O25" s="231">
        <v>5750</v>
      </c>
    </row>
    <row r="26" spans="3:15">
      <c r="C26" s="88" t="s">
        <v>37</v>
      </c>
      <c r="D26" s="88" t="s">
        <v>166</v>
      </c>
      <c r="E26" s="88" t="s">
        <v>165</v>
      </c>
      <c r="F26" s="88" t="s">
        <v>300</v>
      </c>
      <c r="G26" s="61">
        <v>30253</v>
      </c>
      <c r="H26" s="62" t="s">
        <v>296</v>
      </c>
      <c r="I26" s="62" t="s">
        <v>297</v>
      </c>
      <c r="J26" s="62">
        <v>3000</v>
      </c>
      <c r="M26" s="121" t="s">
        <v>306</v>
      </c>
      <c r="N26" s="237">
        <f t="shared" si="1"/>
        <v>1800</v>
      </c>
      <c r="O26" s="231">
        <v>1800</v>
      </c>
    </row>
    <row r="27" spans="3:15">
      <c r="C27" s="88" t="s">
        <v>36</v>
      </c>
      <c r="D27" s="88" t="s">
        <v>167</v>
      </c>
      <c r="E27" s="88" t="s">
        <v>168</v>
      </c>
      <c r="F27" s="88" t="s">
        <v>300</v>
      </c>
      <c r="G27" s="61">
        <v>32451</v>
      </c>
      <c r="H27" s="62" t="s">
        <v>319</v>
      </c>
      <c r="I27" s="62" t="s">
        <v>309</v>
      </c>
      <c r="J27" s="62">
        <v>4750</v>
      </c>
      <c r="M27" s="121" t="s">
        <v>312</v>
      </c>
      <c r="N27" s="237">
        <f t="shared" si="1"/>
        <v>5150</v>
      </c>
      <c r="O27" s="231">
        <v>5150</v>
      </c>
    </row>
    <row r="28" spans="3:15">
      <c r="C28" s="88" t="s">
        <v>169</v>
      </c>
      <c r="D28" s="88" t="s">
        <v>170</v>
      </c>
      <c r="E28" s="88" t="s">
        <v>171</v>
      </c>
      <c r="F28" s="88" t="s">
        <v>295</v>
      </c>
      <c r="G28" s="61">
        <v>24172</v>
      </c>
      <c r="H28" s="62" t="s">
        <v>319</v>
      </c>
      <c r="I28" s="62" t="s">
        <v>304</v>
      </c>
      <c r="J28" s="62">
        <v>1800</v>
      </c>
      <c r="M28" s="121" t="s">
        <v>314</v>
      </c>
      <c r="N28" s="237" t="e">
        <f t="shared" si="1"/>
        <v>#DIV/0!</v>
      </c>
      <c r="O28" s="236" t="e">
        <v>#DIV/0!</v>
      </c>
    </row>
    <row r="29" spans="3:15">
      <c r="C29" s="88" t="s">
        <v>320</v>
      </c>
      <c r="D29" s="88" t="s">
        <v>173</v>
      </c>
      <c r="E29" s="88" t="s">
        <v>174</v>
      </c>
      <c r="F29" s="88" t="s">
        <v>295</v>
      </c>
      <c r="G29" s="61">
        <v>28244</v>
      </c>
      <c r="H29" s="62" t="s">
        <v>296</v>
      </c>
      <c r="I29" s="62" t="s">
        <v>302</v>
      </c>
      <c r="J29" s="62">
        <v>10880</v>
      </c>
      <c r="M29" s="121" t="s">
        <v>316</v>
      </c>
      <c r="N29" s="237">
        <f t="shared" si="1"/>
        <v>3500</v>
      </c>
      <c r="O29" s="231">
        <v>3500</v>
      </c>
    </row>
    <row r="30" spans="3:15">
      <c r="C30" s="88" t="s">
        <v>175</v>
      </c>
      <c r="D30" s="88" t="s">
        <v>167</v>
      </c>
      <c r="E30" s="88" t="s">
        <v>176</v>
      </c>
      <c r="F30" s="88" t="s">
        <v>300</v>
      </c>
      <c r="G30" s="61">
        <v>21929</v>
      </c>
      <c r="H30" s="62" t="s">
        <v>316</v>
      </c>
      <c r="I30" s="62" t="s">
        <v>309</v>
      </c>
      <c r="J30" s="62">
        <v>5000</v>
      </c>
      <c r="M30" s="121" t="s">
        <v>319</v>
      </c>
      <c r="N30" s="237">
        <f t="shared" si="1"/>
        <v>3650</v>
      </c>
      <c r="O30" s="231">
        <v>3650</v>
      </c>
    </row>
    <row r="31" spans="3:15">
      <c r="C31" s="88" t="s">
        <v>177</v>
      </c>
      <c r="D31" s="88" t="s">
        <v>178</v>
      </c>
      <c r="E31" s="88" t="s">
        <v>168</v>
      </c>
      <c r="F31" s="88" t="s">
        <v>300</v>
      </c>
      <c r="G31" s="61">
        <v>22196</v>
      </c>
      <c r="H31" s="62" t="s">
        <v>316</v>
      </c>
      <c r="I31" s="62" t="s">
        <v>304</v>
      </c>
      <c r="J31" s="62">
        <v>1900</v>
      </c>
      <c r="M31" s="127"/>
      <c r="N31" s="127"/>
      <c r="O31" s="233"/>
    </row>
    <row r="32" spans="3:15">
      <c r="C32" s="88" t="s">
        <v>179</v>
      </c>
      <c r="D32" s="88" t="s">
        <v>180</v>
      </c>
      <c r="E32" s="88" t="s">
        <v>181</v>
      </c>
      <c r="F32" s="88" t="s">
        <v>295</v>
      </c>
      <c r="G32" s="61">
        <v>31967</v>
      </c>
      <c r="H32" s="62" t="s">
        <v>319</v>
      </c>
      <c r="I32" s="62" t="s">
        <v>297</v>
      </c>
      <c r="J32" s="62">
        <v>3450</v>
      </c>
      <c r="M32" s="230" t="s">
        <v>321</v>
      </c>
      <c r="N32" s="230"/>
      <c r="O32" s="233"/>
    </row>
    <row r="33" spans="3:19">
      <c r="C33" s="88" t="s">
        <v>182</v>
      </c>
      <c r="D33" s="88" t="s">
        <v>173</v>
      </c>
      <c r="E33" s="88" t="s">
        <v>171</v>
      </c>
      <c r="F33" s="88" t="s">
        <v>295</v>
      </c>
      <c r="G33" s="61">
        <v>22803</v>
      </c>
      <c r="H33" s="62" t="s">
        <v>296</v>
      </c>
      <c r="I33" s="62" t="s">
        <v>297</v>
      </c>
      <c r="J33" s="62">
        <v>2550</v>
      </c>
      <c r="M33" s="129" t="s">
        <v>322</v>
      </c>
      <c r="N33" s="118">
        <f>COUNTIFS(I3:I56,"ОНК",J3:J56,"&gt;4000")</f>
        <v>8</v>
      </c>
      <c r="O33" s="231">
        <v>8</v>
      </c>
    </row>
    <row r="34" spans="3:19">
      <c r="C34" s="88" t="s">
        <v>182</v>
      </c>
      <c r="D34" s="88" t="s">
        <v>170</v>
      </c>
      <c r="E34" s="88" t="s">
        <v>171</v>
      </c>
      <c r="F34" s="88" t="s">
        <v>295</v>
      </c>
      <c r="G34" s="61">
        <v>32940</v>
      </c>
      <c r="H34" s="62" t="s">
        <v>319</v>
      </c>
      <c r="I34" s="62" t="s">
        <v>302</v>
      </c>
      <c r="J34" s="62">
        <v>7360</v>
      </c>
      <c r="M34" s="129" t="s">
        <v>323</v>
      </c>
      <c r="N34" s="118">
        <f>COUNTIFS(G3:G56,"&gt;=01.01.1970",G3:G56,"&lt;=31.12.1989")</f>
        <v>32</v>
      </c>
      <c r="O34" s="231">
        <v>32</v>
      </c>
    </row>
    <row r="35" spans="3:19">
      <c r="C35" s="88" t="s">
        <v>183</v>
      </c>
      <c r="D35" s="88" t="s">
        <v>184</v>
      </c>
      <c r="E35" s="88" t="s">
        <v>185</v>
      </c>
      <c r="F35" s="88" t="s">
        <v>300</v>
      </c>
      <c r="G35" s="61">
        <v>30735</v>
      </c>
      <c r="H35" s="62" t="s">
        <v>316</v>
      </c>
      <c r="I35" s="62" t="s">
        <v>302</v>
      </c>
      <c r="J35" s="62">
        <v>3600</v>
      </c>
      <c r="M35" s="127"/>
      <c r="N35" s="127"/>
      <c r="O35" s="120"/>
    </row>
    <row r="36" spans="3:19">
      <c r="C36" s="88" t="s">
        <v>186</v>
      </c>
      <c r="D36" s="88" t="s">
        <v>187</v>
      </c>
      <c r="E36" s="88" t="s">
        <v>188</v>
      </c>
      <c r="F36" s="88" t="s">
        <v>300</v>
      </c>
      <c r="G36" s="61">
        <v>27437</v>
      </c>
      <c r="H36" s="62" t="s">
        <v>301</v>
      </c>
      <c r="I36" s="62" t="s">
        <v>309</v>
      </c>
      <c r="J36" s="62">
        <v>8500</v>
      </c>
      <c r="M36"/>
      <c r="N36"/>
      <c r="O36"/>
      <c r="P36"/>
      <c r="Q36"/>
      <c r="R36"/>
      <c r="S36"/>
    </row>
    <row r="37" spans="3:19">
      <c r="C37" s="88" t="s">
        <v>189</v>
      </c>
      <c r="D37" s="88" t="s">
        <v>190</v>
      </c>
      <c r="E37" s="88" t="s">
        <v>191</v>
      </c>
      <c r="F37" s="88" t="s">
        <v>295</v>
      </c>
      <c r="G37" s="61">
        <v>30483</v>
      </c>
      <c r="H37" s="62" t="s">
        <v>316</v>
      </c>
      <c r="I37" s="62" t="s">
        <v>297</v>
      </c>
      <c r="J37" s="62">
        <v>3400</v>
      </c>
      <c r="M37"/>
      <c r="N37"/>
      <c r="O37"/>
      <c r="P37"/>
      <c r="Q37"/>
      <c r="R37"/>
      <c r="S37"/>
    </row>
    <row r="38" spans="3:19" ht="20.25" customHeight="1">
      <c r="C38" s="88" t="s">
        <v>192</v>
      </c>
      <c r="D38" s="88" t="s">
        <v>193</v>
      </c>
      <c r="E38" s="88" t="s">
        <v>194</v>
      </c>
      <c r="F38" s="88" t="s">
        <v>295</v>
      </c>
      <c r="G38" s="61">
        <v>25530</v>
      </c>
      <c r="H38" s="62" t="s">
        <v>296</v>
      </c>
      <c r="I38" s="62" t="s">
        <v>304</v>
      </c>
      <c r="J38" s="62">
        <v>2070</v>
      </c>
      <c r="M38" s="27"/>
      <c r="N38"/>
      <c r="O38"/>
      <c r="P38"/>
      <c r="Q38"/>
      <c r="R38"/>
      <c r="S38"/>
    </row>
    <row r="39" spans="3:19" ht="21">
      <c r="C39" s="88" t="s">
        <v>195</v>
      </c>
      <c r="D39" s="88" t="s">
        <v>193</v>
      </c>
      <c r="E39" s="88" t="s">
        <v>194</v>
      </c>
      <c r="F39" s="88" t="s">
        <v>295</v>
      </c>
      <c r="G39" s="61">
        <v>28444</v>
      </c>
      <c r="H39" s="62" t="s">
        <v>314</v>
      </c>
      <c r="I39" s="62" t="s">
        <v>297</v>
      </c>
      <c r="J39" s="62">
        <v>4650</v>
      </c>
      <c r="M39"/>
      <c r="N39" s="63"/>
      <c r="O39" s="63"/>
      <c r="P39" s="63"/>
      <c r="Q39" s="63"/>
      <c r="R39"/>
      <c r="S39"/>
    </row>
    <row r="40" spans="3:19">
      <c r="C40" s="88" t="s">
        <v>196</v>
      </c>
      <c r="D40" s="88" t="s">
        <v>197</v>
      </c>
      <c r="E40" s="88" t="s">
        <v>198</v>
      </c>
      <c r="F40" s="88" t="s">
        <v>295</v>
      </c>
      <c r="G40" s="61">
        <v>23588</v>
      </c>
      <c r="H40" s="62" t="s">
        <v>314</v>
      </c>
      <c r="I40" s="62" t="s">
        <v>309</v>
      </c>
      <c r="J40" s="62">
        <v>2515</v>
      </c>
      <c r="M40" s="127"/>
      <c r="N40" s="127"/>
      <c r="O40" s="120"/>
    </row>
    <row r="41" spans="3:19">
      <c r="C41" s="88" t="s">
        <v>196</v>
      </c>
      <c r="D41" s="88" t="s">
        <v>199</v>
      </c>
      <c r="E41" s="88" t="s">
        <v>198</v>
      </c>
      <c r="F41" s="88" t="s">
        <v>295</v>
      </c>
      <c r="G41" s="61">
        <v>25023</v>
      </c>
      <c r="H41" s="62" t="s">
        <v>319</v>
      </c>
      <c r="I41" s="62" t="s">
        <v>297</v>
      </c>
      <c r="J41" s="62">
        <v>3450</v>
      </c>
      <c r="M41" s="127"/>
      <c r="N41" s="127"/>
      <c r="O41" s="120"/>
    </row>
    <row r="42" spans="3:19">
      <c r="C42" s="88" t="s">
        <v>200</v>
      </c>
      <c r="D42" s="88" t="s">
        <v>201</v>
      </c>
      <c r="E42" s="88" t="s">
        <v>202</v>
      </c>
      <c r="F42" s="88" t="s">
        <v>300</v>
      </c>
      <c r="G42" s="61">
        <v>27820</v>
      </c>
      <c r="H42" s="62" t="s">
        <v>296</v>
      </c>
      <c r="I42" s="62" t="s">
        <v>304</v>
      </c>
      <c r="J42" s="62">
        <v>2100</v>
      </c>
    </row>
    <row r="43" spans="3:19">
      <c r="C43" s="88" t="s">
        <v>203</v>
      </c>
      <c r="D43" s="88" t="s">
        <v>204</v>
      </c>
      <c r="E43" s="88" t="s">
        <v>205</v>
      </c>
      <c r="F43" s="88" t="s">
        <v>300</v>
      </c>
      <c r="G43" s="61">
        <v>32252</v>
      </c>
      <c r="H43" s="62" t="s">
        <v>319</v>
      </c>
      <c r="I43" s="62" t="s">
        <v>297</v>
      </c>
      <c r="J43" s="62">
        <v>2550</v>
      </c>
    </row>
    <row r="44" spans="3:19">
      <c r="C44" s="88" t="s">
        <v>206</v>
      </c>
      <c r="D44" s="88" t="s">
        <v>207</v>
      </c>
      <c r="E44" s="88" t="s">
        <v>208</v>
      </c>
      <c r="F44" s="88" t="s">
        <v>295</v>
      </c>
      <c r="G44" s="61">
        <v>31274</v>
      </c>
      <c r="H44" s="62" t="s">
        <v>316</v>
      </c>
      <c r="I44" s="62" t="s">
        <v>302</v>
      </c>
      <c r="J44" s="62">
        <v>5100</v>
      </c>
    </row>
    <row r="45" spans="3:19">
      <c r="C45" s="88" t="s">
        <v>209</v>
      </c>
      <c r="D45" s="88" t="s">
        <v>210</v>
      </c>
      <c r="E45" s="88" t="s">
        <v>211</v>
      </c>
      <c r="F45" s="88" t="s">
        <v>295</v>
      </c>
      <c r="G45" s="61">
        <v>28781</v>
      </c>
      <c r="H45" s="62" t="s">
        <v>296</v>
      </c>
      <c r="I45" s="62" t="s">
        <v>304</v>
      </c>
      <c r="J45" s="62">
        <v>3060</v>
      </c>
    </row>
    <row r="46" spans="3:19">
      <c r="C46" s="88" t="s">
        <v>212</v>
      </c>
      <c r="D46" s="88" t="s">
        <v>213</v>
      </c>
      <c r="E46" s="88" t="s">
        <v>214</v>
      </c>
      <c r="F46" s="88" t="s">
        <v>300</v>
      </c>
      <c r="G46" s="61">
        <v>29304</v>
      </c>
      <c r="H46" s="62" t="s">
        <v>301</v>
      </c>
      <c r="I46" s="62" t="s">
        <v>304</v>
      </c>
      <c r="J46" s="62">
        <v>2080</v>
      </c>
    </row>
    <row r="47" spans="3:19">
      <c r="C47" s="88" t="s">
        <v>324</v>
      </c>
      <c r="D47" s="88" t="s">
        <v>325</v>
      </c>
      <c r="E47" s="88" t="s">
        <v>326</v>
      </c>
      <c r="F47" s="88" t="s">
        <v>295</v>
      </c>
      <c r="G47" s="61">
        <v>33034</v>
      </c>
      <c r="H47" s="62" t="s">
        <v>314</v>
      </c>
      <c r="I47" s="62" t="s">
        <v>304</v>
      </c>
      <c r="J47" s="62">
        <v>3060</v>
      </c>
    </row>
    <row r="48" spans="3:19">
      <c r="C48" s="88" t="s">
        <v>327</v>
      </c>
      <c r="D48" s="88" t="s">
        <v>328</v>
      </c>
      <c r="E48" s="88" t="s">
        <v>329</v>
      </c>
      <c r="F48" s="88" t="s">
        <v>300</v>
      </c>
      <c r="G48" s="61">
        <v>26348</v>
      </c>
      <c r="H48" s="62" t="s">
        <v>301</v>
      </c>
      <c r="I48" s="62" t="s">
        <v>302</v>
      </c>
      <c r="J48" s="62">
        <v>7360</v>
      </c>
    </row>
    <row r="49" spans="3:18">
      <c r="C49" s="88" t="s">
        <v>215</v>
      </c>
      <c r="D49" s="88" t="s">
        <v>216</v>
      </c>
      <c r="E49" s="88" t="s">
        <v>217</v>
      </c>
      <c r="F49" s="88" t="s">
        <v>300</v>
      </c>
      <c r="G49" s="61">
        <v>23627</v>
      </c>
      <c r="H49" s="62" t="s">
        <v>301</v>
      </c>
      <c r="I49" s="62" t="s">
        <v>309</v>
      </c>
      <c r="J49" s="62">
        <v>8500</v>
      </c>
      <c r="N49" s="127"/>
      <c r="O49" s="127"/>
      <c r="P49" s="120"/>
      <c r="R49" s="194"/>
    </row>
    <row r="50" spans="3:18">
      <c r="C50" s="88" t="s">
        <v>218</v>
      </c>
      <c r="D50" s="88" t="s">
        <v>219</v>
      </c>
      <c r="E50" s="88" t="s">
        <v>220</v>
      </c>
      <c r="F50" s="88" t="s">
        <v>295</v>
      </c>
      <c r="G50" s="61">
        <v>27889</v>
      </c>
      <c r="H50" s="62" t="s">
        <v>296</v>
      </c>
      <c r="I50" s="62" t="s">
        <v>302</v>
      </c>
      <c r="J50" s="62">
        <v>10880</v>
      </c>
      <c r="N50"/>
      <c r="O50"/>
      <c r="P50"/>
      <c r="Q50"/>
      <c r="R50" s="194"/>
    </row>
    <row r="51" spans="3:18">
      <c r="C51" s="88" t="s">
        <v>330</v>
      </c>
      <c r="D51" s="88" t="s">
        <v>331</v>
      </c>
      <c r="E51" s="88" t="s">
        <v>332</v>
      </c>
      <c r="F51" s="88" t="s">
        <v>295</v>
      </c>
      <c r="G51" s="61">
        <v>28648</v>
      </c>
      <c r="H51" s="62" t="s">
        <v>301</v>
      </c>
      <c r="I51" s="62" t="s">
        <v>309</v>
      </c>
      <c r="J51" s="62">
        <v>5000</v>
      </c>
      <c r="N51"/>
      <c r="O51"/>
      <c r="P51"/>
      <c r="Q51"/>
      <c r="R51" s="194"/>
    </row>
    <row r="52" spans="3:18" ht="21">
      <c r="C52" s="88" t="s">
        <v>333</v>
      </c>
      <c r="D52" s="88" t="s">
        <v>334</v>
      </c>
      <c r="E52" s="88" t="s">
        <v>335</v>
      </c>
      <c r="F52" s="88" t="s">
        <v>300</v>
      </c>
      <c r="G52" s="61">
        <v>29002</v>
      </c>
      <c r="H52" s="62" t="s">
        <v>296</v>
      </c>
      <c r="I52" s="62" t="s">
        <v>304</v>
      </c>
      <c r="J52" s="62">
        <v>1800</v>
      </c>
      <c r="N52" s="27"/>
      <c r="O52"/>
      <c r="P52"/>
      <c r="Q52"/>
      <c r="R52" s="194"/>
    </row>
    <row r="53" spans="3:18" ht="21">
      <c r="C53" s="88" t="s">
        <v>221</v>
      </c>
      <c r="D53" s="88" t="s">
        <v>222</v>
      </c>
      <c r="E53" s="88" t="s">
        <v>223</v>
      </c>
      <c r="F53" s="88" t="s">
        <v>295</v>
      </c>
      <c r="G53" s="61">
        <v>30827</v>
      </c>
      <c r="H53" s="62" t="s">
        <v>301</v>
      </c>
      <c r="I53" s="62" t="s">
        <v>302</v>
      </c>
      <c r="J53" s="62">
        <v>3650</v>
      </c>
      <c r="N53"/>
      <c r="O53" s="63"/>
      <c r="P53" s="63"/>
      <c r="Q53" s="63"/>
      <c r="R53" s="194"/>
    </row>
    <row r="54" spans="3:18">
      <c r="C54" s="88" t="s">
        <v>224</v>
      </c>
      <c r="D54" s="88" t="s">
        <v>225</v>
      </c>
      <c r="E54" s="88" t="s">
        <v>226</v>
      </c>
      <c r="F54" s="88" t="s">
        <v>300</v>
      </c>
      <c r="G54" s="61">
        <v>33070</v>
      </c>
      <c r="H54" s="62" t="s">
        <v>296</v>
      </c>
      <c r="I54" s="62" t="s">
        <v>304</v>
      </c>
      <c r="J54" s="62">
        <v>2520</v>
      </c>
      <c r="N54" s="127"/>
      <c r="O54" s="127"/>
      <c r="P54" s="120"/>
      <c r="R54" s="194"/>
    </row>
    <row r="55" spans="3:18">
      <c r="C55" s="88" t="s">
        <v>227</v>
      </c>
      <c r="D55" s="88" t="s">
        <v>228</v>
      </c>
      <c r="E55" s="88" t="s">
        <v>229</v>
      </c>
      <c r="F55" s="88" t="s">
        <v>300</v>
      </c>
      <c r="G55" s="61">
        <v>25451</v>
      </c>
      <c r="H55" s="62" t="s">
        <v>301</v>
      </c>
      <c r="I55" s="62" t="s">
        <v>302</v>
      </c>
      <c r="J55" s="62">
        <v>2100</v>
      </c>
      <c r="N55" s="127"/>
      <c r="O55" s="127"/>
      <c r="P55" s="120"/>
      <c r="R55" s="194"/>
    </row>
    <row r="56" spans="3:18">
      <c r="C56" s="88" t="s">
        <v>230</v>
      </c>
      <c r="D56" s="88" t="s">
        <v>231</v>
      </c>
      <c r="E56" s="88" t="s">
        <v>232</v>
      </c>
      <c r="F56" s="88" t="s">
        <v>295</v>
      </c>
      <c r="G56" s="61">
        <v>29906</v>
      </c>
      <c r="H56" s="62" t="s">
        <v>296</v>
      </c>
      <c r="I56" s="62" t="s">
        <v>304</v>
      </c>
      <c r="J56" s="62">
        <v>1960</v>
      </c>
      <c r="O56" s="115"/>
      <c r="P56" s="117"/>
      <c r="R56" s="194"/>
    </row>
    <row r="57" spans="3:18">
      <c r="M57" s="194"/>
      <c r="N57" s="194"/>
      <c r="O57" s="194"/>
      <c r="P57" s="194"/>
      <c r="Q57" s="194"/>
      <c r="R57" s="194"/>
    </row>
  </sheetData>
  <conditionalFormatting sqref="S3">
    <cfRule type="cellIs" dxfId="85" priority="1" operator="equal">
      <formula>"нет"</formula>
    </cfRule>
    <cfRule type="cellIs" dxfId="84" priority="2" operator="equal">
      <formula>"да"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4" tint="0.59999389629810485"/>
  </sheetPr>
  <dimension ref="A1:N49"/>
  <sheetViews>
    <sheetView showGridLines="0" topLeftCell="A17" zoomScale="115" zoomScaleNormal="115" workbookViewId="0">
      <selection activeCell="I17" sqref="I17"/>
    </sheetView>
  </sheetViews>
  <sheetFormatPr baseColWidth="10" defaultColWidth="9.1640625" defaultRowHeight="16"/>
  <cols>
    <col min="1" max="1" width="13.1640625" style="135" customWidth="1"/>
    <col min="2" max="2" width="4.6640625" style="135" customWidth="1"/>
    <col min="3" max="3" width="25.5" style="135" bestFit="1" customWidth="1"/>
    <col min="4" max="4" width="12" style="135" bestFit="1" customWidth="1"/>
    <col min="5" max="5" width="12.83203125" style="135" bestFit="1" customWidth="1"/>
    <col min="6" max="6" width="14.33203125" style="135" bestFit="1" customWidth="1"/>
    <col min="7" max="7" width="6.5" style="135" customWidth="1"/>
    <col min="8" max="8" width="45" style="135" customWidth="1"/>
    <col min="9" max="9" width="9.1640625" style="135"/>
    <col min="10" max="10" width="4.5" style="139" bestFit="1" customWidth="1"/>
    <col min="11" max="16384" width="9.1640625" style="135"/>
  </cols>
  <sheetData>
    <row r="1" spans="1:10" ht="19">
      <c r="A1" s="334" t="s">
        <v>398</v>
      </c>
      <c r="C1" s="116" t="s">
        <v>399</v>
      </c>
    </row>
    <row r="2" spans="1:10">
      <c r="A2" s="334" t="s">
        <v>400</v>
      </c>
      <c r="C2" s="119" t="s">
        <v>81</v>
      </c>
      <c r="D2" s="119" t="s">
        <v>401</v>
      </c>
      <c r="E2" s="119" t="s">
        <v>402</v>
      </c>
      <c r="F2" s="119" t="s">
        <v>403</v>
      </c>
      <c r="G2" s="136"/>
      <c r="H2" s="136"/>
      <c r="I2" s="140"/>
      <c r="J2" s="141"/>
    </row>
    <row r="3" spans="1:10">
      <c r="A3" s="334" t="s">
        <v>404</v>
      </c>
      <c r="C3" s="62" t="s">
        <v>405</v>
      </c>
      <c r="D3" s="62">
        <v>60</v>
      </c>
      <c r="E3" s="62">
        <v>20</v>
      </c>
      <c r="F3" s="61">
        <v>42856</v>
      </c>
      <c r="G3" s="136"/>
      <c r="H3" s="340" t="s">
        <v>406</v>
      </c>
      <c r="I3" s="62">
        <f>SUM(D3:D27)</f>
        <v>952</v>
      </c>
      <c r="J3" s="351">
        <v>952</v>
      </c>
    </row>
    <row r="4" spans="1:10">
      <c r="A4" s="130"/>
      <c r="C4" s="62" t="s">
        <v>407</v>
      </c>
      <c r="D4" s="62">
        <v>50</v>
      </c>
      <c r="E4" s="62">
        <v>25</v>
      </c>
      <c r="F4" s="61">
        <v>42857</v>
      </c>
      <c r="G4" s="136"/>
      <c r="H4" s="341"/>
      <c r="I4" s="140"/>
      <c r="J4" s="351"/>
    </row>
    <row r="5" spans="1:10">
      <c r="A5" s="130"/>
      <c r="C5" s="62" t="s">
        <v>408</v>
      </c>
      <c r="D5" s="62">
        <v>25</v>
      </c>
      <c r="E5" s="62">
        <v>25</v>
      </c>
      <c r="F5" s="61">
        <v>42858</v>
      </c>
      <c r="G5" s="136"/>
      <c r="H5" s="340" t="s">
        <v>409</v>
      </c>
      <c r="I5" s="62">
        <f>SUMIF(C3:C27,"Дыни",D3:D27)</f>
        <v>110</v>
      </c>
      <c r="J5" s="352">
        <v>110</v>
      </c>
    </row>
    <row r="6" spans="1:10">
      <c r="C6" s="62" t="s">
        <v>410</v>
      </c>
      <c r="D6" s="62">
        <v>40</v>
      </c>
      <c r="E6" s="62">
        <v>8</v>
      </c>
      <c r="F6" s="61">
        <v>42858</v>
      </c>
      <c r="G6" s="136"/>
      <c r="H6" s="341"/>
      <c r="I6" s="141"/>
      <c r="J6" s="352"/>
    </row>
    <row r="7" spans="1:10" ht="18" customHeight="1">
      <c r="C7" s="62" t="s">
        <v>411</v>
      </c>
      <c r="D7" s="62">
        <v>36</v>
      </c>
      <c r="E7" s="62">
        <v>36</v>
      </c>
      <c r="F7" s="61">
        <v>42858</v>
      </c>
      <c r="G7" s="136"/>
      <c r="H7" s="340" t="s">
        <v>412</v>
      </c>
      <c r="I7" s="62">
        <f>SUMIF(C3:C27,"*Яблок*",D3:D27)</f>
        <v>350</v>
      </c>
      <c r="J7" s="352">
        <v>350</v>
      </c>
    </row>
    <row r="8" spans="1:10">
      <c r="C8" s="62" t="s">
        <v>413</v>
      </c>
      <c r="D8" s="62">
        <v>45</v>
      </c>
      <c r="E8" s="62">
        <v>15</v>
      </c>
      <c r="F8" s="61">
        <v>42858</v>
      </c>
      <c r="G8" s="136"/>
      <c r="H8" s="341"/>
      <c r="I8" s="140"/>
      <c r="J8" s="351"/>
    </row>
    <row r="9" spans="1:10">
      <c r="C9" s="62" t="s">
        <v>408</v>
      </c>
      <c r="D9" s="62">
        <v>60</v>
      </c>
      <c r="E9" s="62">
        <v>60</v>
      </c>
      <c r="F9" s="61">
        <v>42859</v>
      </c>
      <c r="G9" s="136"/>
      <c r="H9" s="340" t="s">
        <v>414</v>
      </c>
      <c r="I9" s="142"/>
      <c r="J9" s="351"/>
    </row>
    <row r="10" spans="1:10">
      <c r="C10" s="62" t="s">
        <v>415</v>
      </c>
      <c r="D10" s="62">
        <v>10</v>
      </c>
      <c r="E10" s="62">
        <v>10</v>
      </c>
      <c r="F10" s="61">
        <v>42863</v>
      </c>
      <c r="G10" s="136"/>
      <c r="H10" s="62" t="s">
        <v>411</v>
      </c>
      <c r="I10" s="433">
        <f>SUMIF($C$3:$C$27,H10,$E$3:$E$27)</f>
        <v>131</v>
      </c>
      <c r="J10" s="351">
        <v>131</v>
      </c>
    </row>
    <row r="11" spans="1:10">
      <c r="C11" s="62" t="s">
        <v>416</v>
      </c>
      <c r="D11" s="62">
        <v>40</v>
      </c>
      <c r="E11" s="62">
        <v>20</v>
      </c>
      <c r="F11" s="61">
        <v>42864</v>
      </c>
      <c r="G11" s="136"/>
      <c r="H11" s="62" t="s">
        <v>410</v>
      </c>
      <c r="I11" s="433">
        <f t="shared" ref="I11:I14" si="0">SUMIF($C$3:$C$27,H11,$E$3:$E$27)</f>
        <v>28</v>
      </c>
      <c r="J11" s="351">
        <v>28</v>
      </c>
    </row>
    <row r="12" spans="1:10">
      <c r="C12" s="62" t="s">
        <v>410</v>
      </c>
      <c r="D12" s="62">
        <v>40</v>
      </c>
      <c r="E12" s="62">
        <v>8</v>
      </c>
      <c r="F12" s="61">
        <v>42865</v>
      </c>
      <c r="G12" s="136"/>
      <c r="H12" s="62" t="s">
        <v>407</v>
      </c>
      <c r="I12" s="433">
        <f t="shared" si="0"/>
        <v>45</v>
      </c>
      <c r="J12" s="351">
        <v>45</v>
      </c>
    </row>
    <row r="13" spans="1:10">
      <c r="C13" s="62" t="s">
        <v>417</v>
      </c>
      <c r="D13" s="62">
        <v>15</v>
      </c>
      <c r="E13" s="62">
        <v>15</v>
      </c>
      <c r="F13" s="61">
        <v>42865</v>
      </c>
      <c r="G13" s="136"/>
      <c r="H13" s="62" t="s">
        <v>408</v>
      </c>
      <c r="I13" s="433">
        <f t="shared" si="0"/>
        <v>110</v>
      </c>
      <c r="J13" s="351">
        <v>110</v>
      </c>
    </row>
    <row r="14" spans="1:10">
      <c r="C14" s="62" t="s">
        <v>408</v>
      </c>
      <c r="D14" s="62">
        <v>10</v>
      </c>
      <c r="E14" s="62">
        <v>10</v>
      </c>
      <c r="F14" s="61">
        <v>42867</v>
      </c>
      <c r="G14" s="136"/>
      <c r="H14" s="62" t="s">
        <v>418</v>
      </c>
      <c r="I14" s="433">
        <f t="shared" si="0"/>
        <v>28</v>
      </c>
      <c r="J14" s="351">
        <v>28</v>
      </c>
    </row>
    <row r="15" spans="1:10">
      <c r="C15" s="62" t="s">
        <v>408</v>
      </c>
      <c r="D15" s="62">
        <v>15</v>
      </c>
      <c r="E15" s="62">
        <v>15</v>
      </c>
      <c r="F15" s="61">
        <v>42867</v>
      </c>
      <c r="G15" s="136"/>
      <c r="H15" s="136"/>
      <c r="I15" s="140"/>
      <c r="J15" s="351"/>
    </row>
    <row r="16" spans="1:10">
      <c r="C16" s="62" t="s">
        <v>419</v>
      </c>
      <c r="D16" s="62">
        <v>26</v>
      </c>
      <c r="E16" s="62">
        <v>13</v>
      </c>
      <c r="F16" s="61">
        <v>42867</v>
      </c>
      <c r="G16" s="136"/>
      <c r="H16" s="339" t="s">
        <v>1104</v>
      </c>
      <c r="I16" s="62">
        <f>SUMIFS(D3:D27,C3:C27,"*Яблок*",E3:E27,"&gt;=20")</f>
        <v>220</v>
      </c>
      <c r="J16" s="351">
        <v>220</v>
      </c>
    </row>
    <row r="17" spans="3:13">
      <c r="C17" s="62" t="s">
        <v>418</v>
      </c>
      <c r="D17" s="62">
        <v>26</v>
      </c>
      <c r="E17" s="62">
        <v>13</v>
      </c>
      <c r="F17" s="61">
        <v>42867</v>
      </c>
      <c r="G17" s="136"/>
      <c r="H17" s="379" t="s">
        <v>1145</v>
      </c>
      <c r="I17"/>
      <c r="J17"/>
    </row>
    <row r="18" spans="3:13">
      <c r="C18" s="62" t="s">
        <v>420</v>
      </c>
      <c r="D18" s="62">
        <v>20</v>
      </c>
      <c r="E18" s="62">
        <v>4</v>
      </c>
      <c r="F18" s="61">
        <v>42867</v>
      </c>
      <c r="G18" s="136"/>
      <c r="H18" s="380" t="s">
        <v>1146</v>
      </c>
      <c r="I18"/>
      <c r="J18"/>
    </row>
    <row r="19" spans="3:13">
      <c r="C19" s="62" t="s">
        <v>421</v>
      </c>
      <c r="D19" s="62">
        <v>14</v>
      </c>
      <c r="E19" s="62">
        <v>7</v>
      </c>
      <c r="F19" s="61">
        <v>42868</v>
      </c>
      <c r="G19" s="136"/>
      <c r="H19" s="51" t="s">
        <v>59</v>
      </c>
      <c r="I19" s="52"/>
      <c r="J19" s="53" t="s">
        <v>60</v>
      </c>
      <c r="K19" s="52">
        <v>5</v>
      </c>
    </row>
    <row r="20" spans="3:13">
      <c r="C20" s="62" t="s">
        <v>407</v>
      </c>
      <c r="D20" s="62">
        <v>20</v>
      </c>
      <c r="E20" s="62">
        <v>20</v>
      </c>
      <c r="F20" s="61">
        <v>42868</v>
      </c>
      <c r="G20" s="136"/>
      <c r="H20" s="54"/>
      <c r="I20" s="54"/>
      <c r="J20" s="59"/>
      <c r="K20" s="60" t="s">
        <v>893</v>
      </c>
    </row>
    <row r="21" spans="3:13">
      <c r="C21" s="62" t="s">
        <v>418</v>
      </c>
      <c r="D21" s="62">
        <v>25</v>
      </c>
      <c r="E21" s="62">
        <v>5</v>
      </c>
      <c r="F21" s="61">
        <v>42868</v>
      </c>
      <c r="G21" s="136"/>
      <c r="H21" s="55" t="s">
        <v>896</v>
      </c>
      <c r="I21" s="56"/>
      <c r="J21" s="56"/>
      <c r="K21" s="57" t="str">
        <f t="array" ref="K21">IF(SUM(COUNTIF(I3:I16,J3:J16))=13,"ДА","НЕТ")</f>
        <v>ДА</v>
      </c>
    </row>
    <row r="22" spans="3:13">
      <c r="C22" s="62" t="s">
        <v>422</v>
      </c>
      <c r="D22" s="62">
        <v>80</v>
      </c>
      <c r="E22" s="62">
        <v>40</v>
      </c>
      <c r="F22" s="61">
        <v>42868</v>
      </c>
      <c r="G22" s="136"/>
      <c r="H22"/>
      <c r="I22"/>
      <c r="J22"/>
    </row>
    <row r="23" spans="3:13">
      <c r="C23" s="62" t="s">
        <v>411</v>
      </c>
      <c r="D23" s="62">
        <v>100</v>
      </c>
      <c r="E23" s="62">
        <v>50</v>
      </c>
      <c r="F23" s="61">
        <v>42868</v>
      </c>
      <c r="G23" s="136"/>
      <c r="H23" s="127"/>
      <c r="I23" s="127"/>
      <c r="J23" s="120"/>
      <c r="K23" s="115"/>
      <c r="L23" s="115"/>
      <c r="M23" s="115"/>
    </row>
    <row r="24" spans="3:13">
      <c r="C24" s="62" t="s">
        <v>418</v>
      </c>
      <c r="D24" s="62">
        <v>50</v>
      </c>
      <c r="E24" s="62">
        <v>10</v>
      </c>
      <c r="F24" s="61">
        <v>42877</v>
      </c>
      <c r="G24" s="136"/>
      <c r="H24"/>
      <c r="I24"/>
      <c r="J24"/>
      <c r="K24"/>
      <c r="L24"/>
      <c r="M24"/>
    </row>
    <row r="25" spans="3:13">
      <c r="C25" s="62" t="s">
        <v>410</v>
      </c>
      <c r="D25" s="62">
        <v>60</v>
      </c>
      <c r="E25" s="62">
        <v>12</v>
      </c>
      <c r="F25" s="61">
        <v>42878</v>
      </c>
      <c r="G25" s="136"/>
      <c r="H25"/>
      <c r="I25"/>
      <c r="J25"/>
      <c r="K25"/>
      <c r="L25"/>
      <c r="M25"/>
    </row>
    <row r="26" spans="3:13" ht="21">
      <c r="C26" s="62" t="s">
        <v>1076</v>
      </c>
      <c r="D26" s="62">
        <v>40</v>
      </c>
      <c r="E26" s="62">
        <v>20</v>
      </c>
      <c r="F26" s="61">
        <v>42879</v>
      </c>
      <c r="G26" s="136"/>
      <c r="H26" s="27"/>
      <c r="I26"/>
      <c r="J26"/>
      <c r="K26"/>
      <c r="L26"/>
      <c r="M26"/>
    </row>
    <row r="27" spans="3:13" ht="21">
      <c r="C27" s="62" t="s">
        <v>411</v>
      </c>
      <c r="D27" s="62">
        <v>45</v>
      </c>
      <c r="E27" s="62">
        <v>45</v>
      </c>
      <c r="F27" s="61">
        <v>42880</v>
      </c>
      <c r="G27" s="136"/>
      <c r="H27"/>
      <c r="I27" s="63"/>
      <c r="J27" s="63"/>
      <c r="K27" s="63"/>
      <c r="L27" s="63"/>
      <c r="M27"/>
    </row>
    <row r="28" spans="3:13">
      <c r="H28" s="127"/>
      <c r="I28" s="127"/>
      <c r="J28" s="120"/>
      <c r="K28" s="115"/>
      <c r="L28" s="115"/>
      <c r="M28" s="115"/>
    </row>
    <row r="29" spans="3:13">
      <c r="H29" s="127"/>
      <c r="I29" s="127"/>
      <c r="J29" s="120"/>
      <c r="K29" s="115"/>
      <c r="L29" s="115"/>
      <c r="M29" s="115"/>
    </row>
    <row r="30" spans="3:13">
      <c r="H30" s="115"/>
      <c r="I30" s="115"/>
      <c r="J30" s="117"/>
      <c r="K30" s="115"/>
      <c r="L30" s="115"/>
      <c r="M30" s="115"/>
    </row>
    <row r="31" spans="3:13">
      <c r="H31" s="115"/>
      <c r="I31" s="115"/>
      <c r="J31" s="117"/>
      <c r="K31" s="115"/>
      <c r="L31" s="115"/>
      <c r="M31" s="115"/>
    </row>
    <row r="32" spans="3:13">
      <c r="H32" s="115"/>
      <c r="I32" s="115"/>
      <c r="J32" s="117"/>
      <c r="K32" s="115"/>
      <c r="L32" s="115"/>
      <c r="M32" s="115"/>
    </row>
    <row r="33" spans="8:14">
      <c r="H33" s="115"/>
      <c r="I33" s="115"/>
      <c r="J33" s="117"/>
      <c r="K33" s="115"/>
      <c r="L33" s="115"/>
      <c r="M33" s="115"/>
    </row>
    <row r="34" spans="8:14">
      <c r="H34" s="115"/>
      <c r="I34" s="115"/>
      <c r="J34" s="117"/>
      <c r="K34" s="115"/>
      <c r="L34" s="115"/>
      <c r="M34" s="115"/>
    </row>
    <row r="37" spans="8:14">
      <c r="H37" s="136"/>
      <c r="I37" s="127"/>
      <c r="J37" s="127"/>
      <c r="K37" s="120"/>
      <c r="L37" s="115"/>
      <c r="M37" s="115"/>
      <c r="N37" s="115"/>
    </row>
    <row r="38" spans="8:14">
      <c r="H38" s="136"/>
      <c r="I38"/>
      <c r="J38"/>
      <c r="K38"/>
      <c r="L38"/>
      <c r="M38"/>
      <c r="N38"/>
    </row>
    <row r="39" spans="8:14">
      <c r="H39" s="136"/>
      <c r="I39"/>
      <c r="J39"/>
      <c r="K39"/>
      <c r="L39"/>
      <c r="M39"/>
      <c r="N39"/>
    </row>
    <row r="40" spans="8:14" ht="21">
      <c r="H40" s="136"/>
      <c r="I40" s="27"/>
      <c r="J40"/>
      <c r="K40"/>
      <c r="L40"/>
      <c r="M40"/>
      <c r="N40"/>
    </row>
    <row r="41" spans="8:14" ht="21">
      <c r="H41" s="136"/>
      <c r="I41"/>
      <c r="J41" s="63"/>
      <c r="K41" s="63"/>
      <c r="L41" s="63"/>
      <c r="M41" s="63"/>
      <c r="N41"/>
    </row>
    <row r="42" spans="8:14">
      <c r="I42" s="127"/>
      <c r="J42" s="127"/>
      <c r="K42" s="120"/>
      <c r="L42" s="115"/>
      <c r="M42" s="115"/>
      <c r="N42" s="115"/>
    </row>
    <row r="43" spans="8:14">
      <c r="I43" s="127"/>
      <c r="J43" s="127"/>
      <c r="K43" s="120"/>
      <c r="L43" s="115"/>
      <c r="M43" s="115"/>
      <c r="N43" s="115"/>
    </row>
    <row r="44" spans="8:14">
      <c r="I44" s="115"/>
      <c r="J44" s="115"/>
      <c r="K44" s="117"/>
      <c r="L44" s="115"/>
      <c r="M44" s="115"/>
      <c r="N44" s="115"/>
    </row>
    <row r="45" spans="8:14">
      <c r="I45" s="115"/>
      <c r="J45" s="115"/>
      <c r="K45" s="117"/>
      <c r="L45" s="115"/>
      <c r="M45" s="115"/>
      <c r="N45" s="115"/>
    </row>
    <row r="46" spans="8:14">
      <c r="I46" s="115"/>
      <c r="J46" s="115"/>
      <c r="K46" s="117"/>
      <c r="L46" s="115"/>
      <c r="M46" s="115"/>
      <c r="N46" s="115"/>
    </row>
    <row r="47" spans="8:14">
      <c r="I47" s="115"/>
      <c r="J47" s="115"/>
      <c r="K47" s="117"/>
      <c r="L47" s="115"/>
      <c r="M47" s="115"/>
      <c r="N47" s="115"/>
    </row>
    <row r="48" spans="8:14">
      <c r="I48" s="115"/>
      <c r="J48" s="115"/>
      <c r="K48" s="117"/>
      <c r="L48" s="115"/>
      <c r="M48" s="115"/>
      <c r="N48" s="115"/>
    </row>
    <row r="49" spans="10:11">
      <c r="J49" s="135"/>
      <c r="K49" s="139"/>
    </row>
  </sheetData>
  <conditionalFormatting sqref="K21">
    <cfRule type="cellIs" dxfId="83" priority="1" operator="equal">
      <formula>"нет"</formula>
    </cfRule>
    <cfRule type="cellIs" dxfId="82" priority="2" operator="equal">
      <formula>"да"</formula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C00000"/>
  </sheetPr>
  <dimension ref="B1:O66"/>
  <sheetViews>
    <sheetView showGridLines="0" workbookViewId="0">
      <selection activeCell="M20" sqref="M20"/>
    </sheetView>
  </sheetViews>
  <sheetFormatPr baseColWidth="10" defaultColWidth="9.1640625" defaultRowHeight="15"/>
  <cols>
    <col min="1" max="1" width="3.6640625" style="143" customWidth="1"/>
    <col min="2" max="2" width="16.6640625" style="143" bestFit="1" customWidth="1"/>
    <col min="3" max="3" width="11.5" style="143" bestFit="1" customWidth="1"/>
    <col min="4" max="4" width="12.83203125" style="143" bestFit="1" customWidth="1"/>
    <col min="5" max="5" width="5" style="143" bestFit="1" customWidth="1"/>
    <col min="6" max="6" width="10.5" style="143" bestFit="1" customWidth="1"/>
    <col min="7" max="7" width="17.6640625" style="143" bestFit="1" customWidth="1"/>
    <col min="8" max="8" width="6.83203125" style="143" bestFit="1" customWidth="1"/>
    <col min="9" max="9" width="8.83203125" style="143" bestFit="1" customWidth="1"/>
    <col min="10" max="10" width="11.5" style="143" bestFit="1" customWidth="1"/>
    <col min="11" max="11" width="9.1640625" style="143"/>
    <col min="12" max="12" width="36.5" style="143" customWidth="1"/>
    <col min="13" max="13" width="13.1640625" style="143" bestFit="1" customWidth="1"/>
    <col min="14" max="14" width="10.6640625" style="144" bestFit="1" customWidth="1"/>
    <col min="15" max="16384" width="9.1640625" style="143"/>
  </cols>
  <sheetData>
    <row r="1" spans="2:14" ht="19">
      <c r="B1" s="116" t="s">
        <v>423</v>
      </c>
    </row>
    <row r="2" spans="2:14" ht="33" customHeight="1">
      <c r="B2" s="119" t="s">
        <v>105</v>
      </c>
      <c r="C2" s="119" t="s">
        <v>106</v>
      </c>
      <c r="D2" s="119" t="s">
        <v>107</v>
      </c>
      <c r="E2" s="119" t="s">
        <v>290</v>
      </c>
      <c r="F2" s="119" t="s">
        <v>291</v>
      </c>
      <c r="G2" s="119" t="s">
        <v>292</v>
      </c>
      <c r="H2" s="119" t="s">
        <v>293</v>
      </c>
      <c r="I2" s="119" t="s">
        <v>108</v>
      </c>
      <c r="J2" s="145" t="s">
        <v>424</v>
      </c>
    </row>
    <row r="3" spans="2:14">
      <c r="B3" s="88" t="s">
        <v>52</v>
      </c>
      <c r="C3" s="88" t="s">
        <v>115</v>
      </c>
      <c r="D3" s="88" t="s">
        <v>116</v>
      </c>
      <c r="E3" s="88" t="s">
        <v>295</v>
      </c>
      <c r="F3" s="61">
        <v>28010</v>
      </c>
      <c r="G3" s="62" t="s">
        <v>296</v>
      </c>
      <c r="H3" s="62" t="s">
        <v>297</v>
      </c>
      <c r="I3" s="62">
        <v>1510</v>
      </c>
      <c r="J3" s="146">
        <v>0</v>
      </c>
      <c r="L3" s="147" t="s">
        <v>425</v>
      </c>
      <c r="M3" s="147"/>
    </row>
    <row r="4" spans="2:14">
      <c r="B4" s="88" t="s">
        <v>117</v>
      </c>
      <c r="C4" s="88" t="s">
        <v>118</v>
      </c>
      <c r="D4" s="88" t="s">
        <v>119</v>
      </c>
      <c r="E4" s="88" t="s">
        <v>300</v>
      </c>
      <c r="F4" s="61">
        <v>28994</v>
      </c>
      <c r="G4" s="62" t="s">
        <v>301</v>
      </c>
      <c r="H4" s="62" t="s">
        <v>302</v>
      </c>
      <c r="I4" s="62">
        <v>5440</v>
      </c>
      <c r="J4" s="146">
        <v>0</v>
      </c>
      <c r="L4" s="146" t="s">
        <v>307</v>
      </c>
      <c r="M4" s="146">
        <f>SUMIF(E3:E56,"м",I3:I56)</f>
        <v>127850</v>
      </c>
      <c r="N4" s="144">
        <v>127850</v>
      </c>
    </row>
    <row r="5" spans="2:14">
      <c r="B5" s="88" t="s">
        <v>120</v>
      </c>
      <c r="C5" s="88" t="s">
        <v>121</v>
      </c>
      <c r="D5" s="88" t="s">
        <v>122</v>
      </c>
      <c r="E5" s="88" t="s">
        <v>295</v>
      </c>
      <c r="F5" s="61">
        <v>26452</v>
      </c>
      <c r="G5" s="62" t="s">
        <v>296</v>
      </c>
      <c r="H5" s="62" t="s">
        <v>304</v>
      </c>
      <c r="I5" s="62">
        <v>2050</v>
      </c>
      <c r="J5" s="146">
        <v>1</v>
      </c>
      <c r="L5" s="146" t="s">
        <v>310</v>
      </c>
      <c r="M5" s="146">
        <f>SUMIF(E3:E56,"ж",I3:I56)</f>
        <v>100410</v>
      </c>
      <c r="N5" s="144">
        <v>100410</v>
      </c>
    </row>
    <row r="6" spans="2:14">
      <c r="B6" s="88" t="s">
        <v>51</v>
      </c>
      <c r="C6" s="88" t="s">
        <v>123</v>
      </c>
      <c r="D6" s="88" t="s">
        <v>124</v>
      </c>
      <c r="E6" s="88" t="s">
        <v>300</v>
      </c>
      <c r="F6" s="61">
        <v>27599</v>
      </c>
      <c r="G6" s="62" t="s">
        <v>306</v>
      </c>
      <c r="H6" s="62" t="s">
        <v>304</v>
      </c>
      <c r="I6" s="62">
        <v>1800</v>
      </c>
      <c r="J6" s="146">
        <v>1</v>
      </c>
    </row>
    <row r="7" spans="2:14">
      <c r="B7" s="88" t="s">
        <v>50</v>
      </c>
      <c r="C7" s="88" t="s">
        <v>125</v>
      </c>
      <c r="D7" s="88" t="s">
        <v>126</v>
      </c>
      <c r="E7" s="88" t="s">
        <v>300</v>
      </c>
      <c r="F7" s="61">
        <v>32511</v>
      </c>
      <c r="G7" s="62" t="s">
        <v>308</v>
      </c>
      <c r="H7" s="62" t="s">
        <v>309</v>
      </c>
      <c r="I7" s="62">
        <v>5750</v>
      </c>
      <c r="J7" s="146">
        <v>1</v>
      </c>
      <c r="L7" s="147" t="s">
        <v>426</v>
      </c>
      <c r="M7" s="147"/>
    </row>
    <row r="8" spans="2:14">
      <c r="B8" s="88" t="s">
        <v>127</v>
      </c>
      <c r="C8" s="88" t="s">
        <v>128</v>
      </c>
      <c r="D8" s="88" t="s">
        <v>129</v>
      </c>
      <c r="E8" s="88" t="s">
        <v>295</v>
      </c>
      <c r="F8" s="61">
        <v>28622</v>
      </c>
      <c r="G8" s="62" t="s">
        <v>306</v>
      </c>
      <c r="H8" s="62" t="s">
        <v>309</v>
      </c>
      <c r="I8" s="62">
        <v>4000</v>
      </c>
      <c r="J8" s="146">
        <v>2</v>
      </c>
      <c r="L8" s="146" t="s">
        <v>427</v>
      </c>
      <c r="M8" s="146">
        <f>SUMIF(F3:F56,"&lt;01.01.1980",J3:J56)</f>
        <v>27</v>
      </c>
      <c r="N8" s="144">
        <v>27</v>
      </c>
    </row>
    <row r="9" spans="2:14">
      <c r="B9" s="88" t="s">
        <v>49</v>
      </c>
      <c r="C9" s="88" t="s">
        <v>130</v>
      </c>
      <c r="D9" s="88" t="s">
        <v>131</v>
      </c>
      <c r="E9" s="88" t="s">
        <v>295</v>
      </c>
      <c r="F9" s="61">
        <v>25378</v>
      </c>
      <c r="G9" s="62" t="s">
        <v>296</v>
      </c>
      <c r="H9" s="62" t="s">
        <v>297</v>
      </c>
      <c r="I9" s="62">
        <v>3600</v>
      </c>
      <c r="J9" s="146">
        <v>0</v>
      </c>
      <c r="L9" s="146" t="s">
        <v>428</v>
      </c>
      <c r="M9" s="146">
        <f>SUMIF(H3:H56,"ЛОГ",J3:J56)</f>
        <v>15</v>
      </c>
      <c r="N9" s="144">
        <v>15</v>
      </c>
    </row>
    <row r="10" spans="2:14">
      <c r="B10" s="88" t="s">
        <v>48</v>
      </c>
      <c r="C10" s="88" t="s">
        <v>132</v>
      </c>
      <c r="D10" s="88" t="s">
        <v>133</v>
      </c>
      <c r="E10" s="88" t="s">
        <v>295</v>
      </c>
      <c r="F10" s="61">
        <v>25080</v>
      </c>
      <c r="G10" s="62" t="s">
        <v>306</v>
      </c>
      <c r="H10" s="62" t="s">
        <v>302</v>
      </c>
      <c r="I10" s="62">
        <v>7360</v>
      </c>
      <c r="J10" s="146">
        <v>1</v>
      </c>
    </row>
    <row r="11" spans="2:14">
      <c r="B11" s="88" t="s">
        <v>47</v>
      </c>
      <c r="C11" s="88" t="s">
        <v>134</v>
      </c>
      <c r="D11" s="88" t="s">
        <v>135</v>
      </c>
      <c r="E11" s="88" t="s">
        <v>300</v>
      </c>
      <c r="F11" s="61">
        <v>31225</v>
      </c>
      <c r="G11" s="62" t="s">
        <v>312</v>
      </c>
      <c r="H11" s="62" t="s">
        <v>304</v>
      </c>
      <c r="I11" s="62">
        <v>1800</v>
      </c>
      <c r="J11" s="146">
        <v>2</v>
      </c>
    </row>
    <row r="12" spans="2:14">
      <c r="B12" s="88" t="s">
        <v>46</v>
      </c>
      <c r="C12" s="88" t="s">
        <v>136</v>
      </c>
      <c r="D12" s="88" t="s">
        <v>137</v>
      </c>
      <c r="E12" s="88" t="s">
        <v>295</v>
      </c>
      <c r="F12" s="61">
        <v>24630</v>
      </c>
      <c r="G12" s="62" t="s">
        <v>301</v>
      </c>
      <c r="H12" s="62" t="s">
        <v>297</v>
      </c>
      <c r="I12" s="62">
        <v>3000</v>
      </c>
      <c r="J12" s="146">
        <v>0</v>
      </c>
      <c r="L12" s="147" t="s">
        <v>1135</v>
      </c>
      <c r="M12" s="148" t="s">
        <v>307</v>
      </c>
    </row>
    <row r="13" spans="2:14">
      <c r="B13" s="88" t="s">
        <v>46</v>
      </c>
      <c r="C13" s="88" t="s">
        <v>130</v>
      </c>
      <c r="D13" s="88" t="s">
        <v>131</v>
      </c>
      <c r="E13" s="88" t="s">
        <v>295</v>
      </c>
      <c r="F13" s="61">
        <v>27823</v>
      </c>
      <c r="G13" s="62" t="s">
        <v>312</v>
      </c>
      <c r="H13" s="62" t="s">
        <v>297</v>
      </c>
      <c r="I13" s="62">
        <v>3450</v>
      </c>
      <c r="J13" s="146">
        <v>0</v>
      </c>
      <c r="L13" s="146" t="s">
        <v>296</v>
      </c>
      <c r="M13" s="277">
        <f>AVERAGEIFS(I3:I56,G3:G56,L13,E3:E56,"м")</f>
        <v>4425</v>
      </c>
      <c r="N13" s="144">
        <v>4425</v>
      </c>
    </row>
    <row r="14" spans="2:14">
      <c r="B14" s="88" t="s">
        <v>45</v>
      </c>
      <c r="C14" s="88" t="s">
        <v>138</v>
      </c>
      <c r="D14" s="88" t="s">
        <v>135</v>
      </c>
      <c r="E14" s="88" t="s">
        <v>300</v>
      </c>
      <c r="F14" s="61">
        <v>29407</v>
      </c>
      <c r="G14" s="62" t="s">
        <v>296</v>
      </c>
      <c r="H14" s="62" t="s">
        <v>304</v>
      </c>
      <c r="I14" s="62">
        <v>2700</v>
      </c>
      <c r="J14" s="146">
        <v>1</v>
      </c>
      <c r="L14" s="146" t="s">
        <v>316</v>
      </c>
      <c r="M14" s="277">
        <f>AVERAGEIFS(I3:I56,G3:G56,L14,E3:E56,"м")</f>
        <v>3993.3333333333335</v>
      </c>
      <c r="N14" s="144">
        <v>3993.3333333333335</v>
      </c>
    </row>
    <row r="15" spans="2:14">
      <c r="B15" s="88" t="s">
        <v>139</v>
      </c>
      <c r="C15" s="88" t="s">
        <v>140</v>
      </c>
      <c r="D15" s="88" t="s">
        <v>141</v>
      </c>
      <c r="E15" s="88" t="s">
        <v>300</v>
      </c>
      <c r="F15" s="61">
        <v>25538</v>
      </c>
      <c r="G15" s="62" t="s">
        <v>312</v>
      </c>
      <c r="H15" s="62" t="s">
        <v>309</v>
      </c>
      <c r="I15" s="62">
        <v>8500</v>
      </c>
      <c r="J15" s="146">
        <v>1</v>
      </c>
    </row>
    <row r="16" spans="2:14">
      <c r="B16" s="88" t="s">
        <v>43</v>
      </c>
      <c r="C16" s="88" t="s">
        <v>142</v>
      </c>
      <c r="D16" s="88" t="s">
        <v>143</v>
      </c>
      <c r="E16" s="88" t="s">
        <v>295</v>
      </c>
      <c r="F16" s="61">
        <v>24240</v>
      </c>
      <c r="G16" s="62" t="s">
        <v>314</v>
      </c>
      <c r="H16" s="62" t="s">
        <v>297</v>
      </c>
      <c r="I16" s="62">
        <v>4650</v>
      </c>
      <c r="J16" s="146">
        <v>0</v>
      </c>
    </row>
    <row r="17" spans="2:15" ht="16">
      <c r="B17" s="88" t="s">
        <v>42</v>
      </c>
      <c r="C17" s="88" t="s">
        <v>144</v>
      </c>
      <c r="D17" s="88" t="s">
        <v>145</v>
      </c>
      <c r="E17" s="88" t="s">
        <v>295</v>
      </c>
      <c r="F17" s="61">
        <v>33232</v>
      </c>
      <c r="G17" s="62" t="s">
        <v>306</v>
      </c>
      <c r="H17" s="62" t="s">
        <v>304</v>
      </c>
      <c r="I17" s="62">
        <v>2070</v>
      </c>
      <c r="J17" s="146">
        <v>1</v>
      </c>
      <c r="L17" s="230" t="s">
        <v>321</v>
      </c>
      <c r="M17" s="147"/>
    </row>
    <row r="18" spans="2:15">
      <c r="B18" s="88" t="s">
        <v>146</v>
      </c>
      <c r="C18" s="88" t="s">
        <v>147</v>
      </c>
      <c r="D18" s="88" t="s">
        <v>148</v>
      </c>
      <c r="E18" s="88" t="s">
        <v>295</v>
      </c>
      <c r="F18" s="61">
        <v>28229</v>
      </c>
      <c r="G18" s="62" t="s">
        <v>306</v>
      </c>
      <c r="H18" s="62" t="s">
        <v>302</v>
      </c>
      <c r="I18" s="62">
        <v>6400</v>
      </c>
      <c r="J18" s="146">
        <v>3</v>
      </c>
      <c r="L18" s="129" t="s">
        <v>998</v>
      </c>
      <c r="M18" s="146">
        <f>COUNTIFS(H3:H56,"ОТД",I3:I56,"&gt;5000")</f>
        <v>1</v>
      </c>
      <c r="N18" s="144">
        <v>1</v>
      </c>
    </row>
    <row r="19" spans="2:15">
      <c r="B19" s="88" t="s">
        <v>41</v>
      </c>
      <c r="C19" s="88" t="s">
        <v>149</v>
      </c>
      <c r="D19" s="88" t="s">
        <v>150</v>
      </c>
      <c r="E19" s="88" t="s">
        <v>300</v>
      </c>
      <c r="F19" s="61">
        <v>29050</v>
      </c>
      <c r="G19" s="62" t="s">
        <v>296</v>
      </c>
      <c r="H19" s="62" t="s">
        <v>297</v>
      </c>
      <c r="I19" s="62">
        <v>2400</v>
      </c>
      <c r="J19" s="146">
        <v>1</v>
      </c>
      <c r="L19" s="129" t="s">
        <v>997</v>
      </c>
      <c r="M19" s="146">
        <f>COUNTIFS(F3:F56,"&gt;01/01/1980",F3:F56,"&lt;31/12/1985")</f>
        <v>10</v>
      </c>
      <c r="N19" s="144">
        <v>10</v>
      </c>
    </row>
    <row r="20" spans="2:15">
      <c r="B20" s="88" t="s">
        <v>151</v>
      </c>
      <c r="C20" s="88" t="s">
        <v>152</v>
      </c>
      <c r="D20" s="88" t="s">
        <v>153</v>
      </c>
      <c r="E20" s="88" t="s">
        <v>300</v>
      </c>
      <c r="F20" s="61">
        <v>30801</v>
      </c>
      <c r="G20" s="62" t="s">
        <v>296</v>
      </c>
      <c r="H20" s="62" t="s">
        <v>304</v>
      </c>
      <c r="I20" s="62">
        <v>3100</v>
      </c>
      <c r="J20" s="146">
        <v>4</v>
      </c>
    </row>
    <row r="21" spans="2:15">
      <c r="B21" s="88" t="s">
        <v>40</v>
      </c>
      <c r="C21" s="88" t="s">
        <v>154</v>
      </c>
      <c r="D21" s="88" t="s">
        <v>155</v>
      </c>
      <c r="E21" s="88" t="s">
        <v>295</v>
      </c>
      <c r="F21" s="61">
        <v>23048</v>
      </c>
      <c r="G21" s="62" t="s">
        <v>316</v>
      </c>
      <c r="H21" s="62" t="s">
        <v>297</v>
      </c>
      <c r="I21" s="62">
        <v>3480</v>
      </c>
      <c r="J21" s="146">
        <v>2</v>
      </c>
    </row>
    <row r="22" spans="2:15" ht="16">
      <c r="B22" s="88" t="s">
        <v>39</v>
      </c>
      <c r="C22" s="88" t="s">
        <v>156</v>
      </c>
      <c r="D22" s="88" t="s">
        <v>157</v>
      </c>
      <c r="E22" s="88" t="s">
        <v>300</v>
      </c>
      <c r="F22" s="61">
        <v>27294</v>
      </c>
      <c r="G22" s="62" t="s">
        <v>301</v>
      </c>
      <c r="H22" s="62" t="s">
        <v>304</v>
      </c>
      <c r="I22" s="62">
        <v>900</v>
      </c>
      <c r="J22" s="146">
        <v>1</v>
      </c>
      <c r="L22" s="51" t="s">
        <v>59</v>
      </c>
      <c r="M22" s="52"/>
      <c r="N22" s="53" t="s">
        <v>60</v>
      </c>
      <c r="O22" s="52">
        <v>6</v>
      </c>
    </row>
    <row r="23" spans="2:15">
      <c r="B23" s="88" t="s">
        <v>158</v>
      </c>
      <c r="C23" s="88" t="s">
        <v>159</v>
      </c>
      <c r="D23" s="88" t="s">
        <v>160</v>
      </c>
      <c r="E23" s="88" t="s">
        <v>295</v>
      </c>
      <c r="F23" s="61">
        <v>25494</v>
      </c>
      <c r="G23" s="62" t="s">
        <v>318</v>
      </c>
      <c r="H23" s="62" t="s">
        <v>304</v>
      </c>
      <c r="I23" s="62">
        <v>905</v>
      </c>
      <c r="J23" s="146">
        <v>0</v>
      </c>
      <c r="L23" s="54"/>
      <c r="M23" s="54"/>
      <c r="N23" s="59"/>
      <c r="O23" s="60" t="s">
        <v>893</v>
      </c>
    </row>
    <row r="24" spans="2:15">
      <c r="B24" s="88" t="s">
        <v>38</v>
      </c>
      <c r="C24" s="88" t="s">
        <v>161</v>
      </c>
      <c r="D24" s="88" t="s">
        <v>162</v>
      </c>
      <c r="E24" s="88" t="s">
        <v>295</v>
      </c>
      <c r="F24" s="61">
        <v>34049</v>
      </c>
      <c r="G24" s="62" t="s">
        <v>296</v>
      </c>
      <c r="H24" s="62" t="s">
        <v>309</v>
      </c>
      <c r="I24" s="62">
        <v>5750</v>
      </c>
      <c r="J24" s="146">
        <v>1</v>
      </c>
      <c r="L24" s="55" t="s">
        <v>999</v>
      </c>
      <c r="M24" s="56"/>
      <c r="N24" s="56"/>
      <c r="O24" s="57" t="str">
        <f t="array" ref="O24">IF(SUM(COUNTIF(M4:M19,N4:N19))=8,"ДА","НЕТ")</f>
        <v>ДА</v>
      </c>
    </row>
    <row r="25" spans="2:15">
      <c r="B25" s="88" t="s">
        <v>163</v>
      </c>
      <c r="C25" s="88" t="s">
        <v>164</v>
      </c>
      <c r="D25" s="88" t="s">
        <v>165</v>
      </c>
      <c r="E25" s="88" t="s">
        <v>300</v>
      </c>
      <c r="F25" s="61">
        <v>34954</v>
      </c>
      <c r="G25" s="62" t="s">
        <v>318</v>
      </c>
      <c r="H25" s="62" t="s">
        <v>304</v>
      </c>
      <c r="I25" s="62">
        <v>1800</v>
      </c>
      <c r="J25" s="146">
        <v>1</v>
      </c>
    </row>
    <row r="26" spans="2:15">
      <c r="B26" s="88" t="s">
        <v>37</v>
      </c>
      <c r="C26" s="88" t="s">
        <v>166</v>
      </c>
      <c r="D26" s="88" t="s">
        <v>165</v>
      </c>
      <c r="E26" s="88" t="s">
        <v>300</v>
      </c>
      <c r="F26" s="61">
        <v>30253</v>
      </c>
      <c r="G26" s="62" t="s">
        <v>296</v>
      </c>
      <c r="H26" s="62" t="s">
        <v>297</v>
      </c>
      <c r="I26" s="62">
        <v>3000</v>
      </c>
      <c r="J26" s="146">
        <v>1</v>
      </c>
    </row>
    <row r="27" spans="2:15">
      <c r="B27" s="88" t="s">
        <v>36</v>
      </c>
      <c r="C27" s="88" t="s">
        <v>167</v>
      </c>
      <c r="D27" s="88" t="s">
        <v>168</v>
      </c>
      <c r="E27" s="88" t="s">
        <v>300</v>
      </c>
      <c r="F27" s="61">
        <v>32451</v>
      </c>
      <c r="G27" s="62" t="s">
        <v>319</v>
      </c>
      <c r="H27" s="62" t="s">
        <v>309</v>
      </c>
      <c r="I27" s="62">
        <v>4750</v>
      </c>
      <c r="J27" s="146">
        <v>0</v>
      </c>
    </row>
    <row r="28" spans="2:15">
      <c r="B28" s="88" t="s">
        <v>169</v>
      </c>
      <c r="C28" s="88" t="s">
        <v>170</v>
      </c>
      <c r="D28" s="88" t="s">
        <v>171</v>
      </c>
      <c r="E28" s="88" t="s">
        <v>295</v>
      </c>
      <c r="F28" s="61">
        <v>24172</v>
      </c>
      <c r="G28" s="62" t="s">
        <v>319</v>
      </c>
      <c r="H28" s="62" t="s">
        <v>304</v>
      </c>
      <c r="I28" s="62">
        <v>1800</v>
      </c>
      <c r="J28" s="146">
        <v>0</v>
      </c>
    </row>
    <row r="29" spans="2:15">
      <c r="B29" s="88" t="s">
        <v>320</v>
      </c>
      <c r="C29" s="88" t="s">
        <v>173</v>
      </c>
      <c r="D29" s="88" t="s">
        <v>174</v>
      </c>
      <c r="E29" s="88" t="s">
        <v>295</v>
      </c>
      <c r="F29" s="61">
        <v>28244</v>
      </c>
      <c r="G29" s="62" t="s">
        <v>296</v>
      </c>
      <c r="H29" s="62" t="s">
        <v>302</v>
      </c>
      <c r="I29" s="62">
        <v>10880</v>
      </c>
      <c r="J29" s="146">
        <v>1</v>
      </c>
    </row>
    <row r="30" spans="2:15">
      <c r="B30" s="88" t="s">
        <v>175</v>
      </c>
      <c r="C30" s="88" t="s">
        <v>167</v>
      </c>
      <c r="D30" s="88" t="s">
        <v>176</v>
      </c>
      <c r="E30" s="88" t="s">
        <v>300</v>
      </c>
      <c r="F30" s="61">
        <v>21929</v>
      </c>
      <c r="G30" s="62" t="s">
        <v>316</v>
      </c>
      <c r="H30" s="62" t="s">
        <v>309</v>
      </c>
      <c r="I30" s="62">
        <v>5000</v>
      </c>
      <c r="J30" s="146">
        <v>1</v>
      </c>
    </row>
    <row r="31" spans="2:15">
      <c r="B31" s="88" t="s">
        <v>177</v>
      </c>
      <c r="C31" s="88" t="s">
        <v>178</v>
      </c>
      <c r="D31" s="88" t="s">
        <v>168</v>
      </c>
      <c r="E31" s="88" t="s">
        <v>300</v>
      </c>
      <c r="F31" s="61">
        <v>22196</v>
      </c>
      <c r="G31" s="62" t="s">
        <v>316</v>
      </c>
      <c r="H31" s="62" t="s">
        <v>304</v>
      </c>
      <c r="I31" s="62">
        <v>1900</v>
      </c>
      <c r="J31" s="146">
        <v>1</v>
      </c>
    </row>
    <row r="32" spans="2:15">
      <c r="B32" s="88" t="s">
        <v>179</v>
      </c>
      <c r="C32" s="88" t="s">
        <v>180</v>
      </c>
      <c r="D32" s="88" t="s">
        <v>181</v>
      </c>
      <c r="E32" s="88" t="s">
        <v>295</v>
      </c>
      <c r="F32" s="61">
        <v>31967</v>
      </c>
      <c r="G32" s="62" t="s">
        <v>319</v>
      </c>
      <c r="H32" s="62" t="s">
        <v>297</v>
      </c>
      <c r="I32" s="62">
        <v>3450</v>
      </c>
      <c r="J32" s="146">
        <v>0</v>
      </c>
    </row>
    <row r="33" spans="2:10">
      <c r="B33" s="88" t="s">
        <v>182</v>
      </c>
      <c r="C33" s="88" t="s">
        <v>173</v>
      </c>
      <c r="D33" s="88" t="s">
        <v>171</v>
      </c>
      <c r="E33" s="88" t="s">
        <v>295</v>
      </c>
      <c r="F33" s="61">
        <v>22803</v>
      </c>
      <c r="G33" s="62" t="s">
        <v>296</v>
      </c>
      <c r="H33" s="62" t="s">
        <v>297</v>
      </c>
      <c r="I33" s="62">
        <v>2550</v>
      </c>
      <c r="J33" s="146">
        <v>1</v>
      </c>
    </row>
    <row r="34" spans="2:10">
      <c r="B34" s="88" t="s">
        <v>182</v>
      </c>
      <c r="C34" s="88" t="s">
        <v>170</v>
      </c>
      <c r="D34" s="88" t="s">
        <v>171</v>
      </c>
      <c r="E34" s="88" t="s">
        <v>295</v>
      </c>
      <c r="F34" s="61">
        <v>32940</v>
      </c>
      <c r="G34" s="62" t="s">
        <v>319</v>
      </c>
      <c r="H34" s="62" t="s">
        <v>302</v>
      </c>
      <c r="I34" s="62">
        <v>7360</v>
      </c>
      <c r="J34" s="146">
        <v>2</v>
      </c>
    </row>
    <row r="35" spans="2:10">
      <c r="B35" s="88" t="s">
        <v>183</v>
      </c>
      <c r="C35" s="88" t="s">
        <v>184</v>
      </c>
      <c r="D35" s="88" t="s">
        <v>185</v>
      </c>
      <c r="E35" s="88" t="s">
        <v>300</v>
      </c>
      <c r="F35" s="61">
        <v>30735</v>
      </c>
      <c r="G35" s="62" t="s">
        <v>316</v>
      </c>
      <c r="H35" s="62" t="s">
        <v>302</v>
      </c>
      <c r="I35" s="62">
        <v>3600</v>
      </c>
      <c r="J35" s="146">
        <v>3</v>
      </c>
    </row>
    <row r="36" spans="2:10">
      <c r="B36" s="88" t="s">
        <v>186</v>
      </c>
      <c r="C36" s="88" t="s">
        <v>187</v>
      </c>
      <c r="D36" s="88" t="s">
        <v>188</v>
      </c>
      <c r="E36" s="88" t="s">
        <v>300</v>
      </c>
      <c r="F36" s="61">
        <v>27437</v>
      </c>
      <c r="G36" s="62" t="s">
        <v>301</v>
      </c>
      <c r="H36" s="62" t="s">
        <v>309</v>
      </c>
      <c r="I36" s="62">
        <v>8500</v>
      </c>
      <c r="J36" s="146">
        <v>1</v>
      </c>
    </row>
    <row r="37" spans="2:10">
      <c r="B37" s="88" t="s">
        <v>189</v>
      </c>
      <c r="C37" s="88" t="s">
        <v>190</v>
      </c>
      <c r="D37" s="88" t="s">
        <v>191</v>
      </c>
      <c r="E37" s="88" t="s">
        <v>295</v>
      </c>
      <c r="F37" s="61">
        <v>30483</v>
      </c>
      <c r="G37" s="62" t="s">
        <v>316</v>
      </c>
      <c r="H37" s="62" t="s">
        <v>297</v>
      </c>
      <c r="I37" s="62">
        <v>3400</v>
      </c>
      <c r="J37" s="146">
        <v>1</v>
      </c>
    </row>
    <row r="38" spans="2:10">
      <c r="B38" s="88" t="s">
        <v>192</v>
      </c>
      <c r="C38" s="88" t="s">
        <v>193</v>
      </c>
      <c r="D38" s="88" t="s">
        <v>194</v>
      </c>
      <c r="E38" s="88" t="s">
        <v>295</v>
      </c>
      <c r="F38" s="61">
        <v>25530</v>
      </c>
      <c r="G38" s="62" t="s">
        <v>296</v>
      </c>
      <c r="H38" s="62" t="s">
        <v>304</v>
      </c>
      <c r="I38" s="62">
        <v>2070</v>
      </c>
      <c r="J38" s="146">
        <v>0</v>
      </c>
    </row>
    <row r="39" spans="2:10">
      <c r="B39" s="88" t="s">
        <v>195</v>
      </c>
      <c r="C39" s="88" t="s">
        <v>193</v>
      </c>
      <c r="D39" s="88" t="s">
        <v>194</v>
      </c>
      <c r="E39" s="88" t="s">
        <v>295</v>
      </c>
      <c r="F39" s="61">
        <v>28444</v>
      </c>
      <c r="G39" s="62" t="s">
        <v>314</v>
      </c>
      <c r="H39" s="62" t="s">
        <v>297</v>
      </c>
      <c r="I39" s="62">
        <v>4650</v>
      </c>
      <c r="J39" s="146">
        <v>1</v>
      </c>
    </row>
    <row r="40" spans="2:10">
      <c r="B40" s="88" t="s">
        <v>196</v>
      </c>
      <c r="C40" s="88" t="s">
        <v>197</v>
      </c>
      <c r="D40" s="88" t="s">
        <v>198</v>
      </c>
      <c r="E40" s="88" t="s">
        <v>295</v>
      </c>
      <c r="F40" s="61">
        <v>23588</v>
      </c>
      <c r="G40" s="62" t="s">
        <v>314</v>
      </c>
      <c r="H40" s="62" t="s">
        <v>309</v>
      </c>
      <c r="I40" s="62">
        <v>2515</v>
      </c>
      <c r="J40" s="146">
        <v>1</v>
      </c>
    </row>
    <row r="41" spans="2:10">
      <c r="B41" s="88" t="s">
        <v>196</v>
      </c>
      <c r="C41" s="88" t="s">
        <v>199</v>
      </c>
      <c r="D41" s="88" t="s">
        <v>198</v>
      </c>
      <c r="E41" s="88" t="s">
        <v>295</v>
      </c>
      <c r="F41" s="61">
        <v>25023</v>
      </c>
      <c r="G41" s="62" t="s">
        <v>319</v>
      </c>
      <c r="H41" s="62" t="s">
        <v>297</v>
      </c>
      <c r="I41" s="62">
        <v>3450</v>
      </c>
      <c r="J41" s="146">
        <v>0</v>
      </c>
    </row>
    <row r="42" spans="2:10">
      <c r="B42" s="88" t="s">
        <v>200</v>
      </c>
      <c r="C42" s="88" t="s">
        <v>201</v>
      </c>
      <c r="D42" s="88" t="s">
        <v>202</v>
      </c>
      <c r="E42" s="88" t="s">
        <v>300</v>
      </c>
      <c r="F42" s="61">
        <v>27820</v>
      </c>
      <c r="G42" s="62" t="s">
        <v>296</v>
      </c>
      <c r="H42" s="62" t="s">
        <v>304</v>
      </c>
      <c r="I42" s="62">
        <v>2100</v>
      </c>
      <c r="J42" s="146">
        <v>1</v>
      </c>
    </row>
    <row r="43" spans="2:10">
      <c r="B43" s="88" t="s">
        <v>203</v>
      </c>
      <c r="C43" s="88" t="s">
        <v>204</v>
      </c>
      <c r="D43" s="88" t="s">
        <v>205</v>
      </c>
      <c r="E43" s="88" t="s">
        <v>300</v>
      </c>
      <c r="F43" s="61">
        <v>32252</v>
      </c>
      <c r="G43" s="62" t="s">
        <v>319</v>
      </c>
      <c r="H43" s="62" t="s">
        <v>297</v>
      </c>
      <c r="I43" s="62">
        <v>2550</v>
      </c>
      <c r="J43" s="146">
        <v>1</v>
      </c>
    </row>
    <row r="44" spans="2:10">
      <c r="B44" s="88" t="s">
        <v>206</v>
      </c>
      <c r="C44" s="88" t="s">
        <v>207</v>
      </c>
      <c r="D44" s="88" t="s">
        <v>208</v>
      </c>
      <c r="E44" s="88" t="s">
        <v>295</v>
      </c>
      <c r="F44" s="61">
        <v>31274</v>
      </c>
      <c r="G44" s="62" t="s">
        <v>316</v>
      </c>
      <c r="H44" s="62" t="s">
        <v>302</v>
      </c>
      <c r="I44" s="62">
        <v>5100</v>
      </c>
      <c r="J44" s="146">
        <v>1</v>
      </c>
    </row>
    <row r="45" spans="2:10">
      <c r="B45" s="88" t="s">
        <v>209</v>
      </c>
      <c r="C45" s="88" t="s">
        <v>210</v>
      </c>
      <c r="D45" s="88" t="s">
        <v>211</v>
      </c>
      <c r="E45" s="88" t="s">
        <v>295</v>
      </c>
      <c r="F45" s="61">
        <v>28781</v>
      </c>
      <c r="G45" s="62" t="s">
        <v>296</v>
      </c>
      <c r="H45" s="62" t="s">
        <v>304</v>
      </c>
      <c r="I45" s="62">
        <v>3060</v>
      </c>
      <c r="J45" s="146">
        <v>0</v>
      </c>
    </row>
    <row r="46" spans="2:10">
      <c r="B46" s="88" t="s">
        <v>212</v>
      </c>
      <c r="C46" s="88" t="s">
        <v>213</v>
      </c>
      <c r="D46" s="88" t="s">
        <v>214</v>
      </c>
      <c r="E46" s="88" t="s">
        <v>300</v>
      </c>
      <c r="F46" s="61">
        <v>29304</v>
      </c>
      <c r="G46" s="62" t="s">
        <v>301</v>
      </c>
      <c r="H46" s="62" t="s">
        <v>304</v>
      </c>
      <c r="I46" s="62">
        <v>2080</v>
      </c>
      <c r="J46" s="146">
        <v>1</v>
      </c>
    </row>
    <row r="47" spans="2:10">
      <c r="B47" s="88" t="s">
        <v>324</v>
      </c>
      <c r="C47" s="88" t="s">
        <v>325</v>
      </c>
      <c r="D47" s="88" t="s">
        <v>326</v>
      </c>
      <c r="E47" s="88" t="s">
        <v>295</v>
      </c>
      <c r="F47" s="61">
        <v>33034</v>
      </c>
      <c r="G47" s="62" t="s">
        <v>314</v>
      </c>
      <c r="H47" s="62" t="s">
        <v>304</v>
      </c>
      <c r="I47" s="62">
        <v>3060</v>
      </c>
      <c r="J47" s="146">
        <v>0</v>
      </c>
    </row>
    <row r="48" spans="2:10">
      <c r="B48" s="88" t="s">
        <v>327</v>
      </c>
      <c r="C48" s="88" t="s">
        <v>328</v>
      </c>
      <c r="D48" s="88" t="s">
        <v>329</v>
      </c>
      <c r="E48" s="88" t="s">
        <v>300</v>
      </c>
      <c r="F48" s="61">
        <v>26348</v>
      </c>
      <c r="G48" s="62" t="s">
        <v>301</v>
      </c>
      <c r="H48" s="62" t="s">
        <v>302</v>
      </c>
      <c r="I48" s="62">
        <v>7360</v>
      </c>
      <c r="J48" s="146">
        <v>3</v>
      </c>
    </row>
    <row r="49" spans="2:14">
      <c r="B49" s="88" t="s">
        <v>215</v>
      </c>
      <c r="C49" s="88" t="s">
        <v>216</v>
      </c>
      <c r="D49" s="88" t="s">
        <v>217</v>
      </c>
      <c r="E49" s="88" t="s">
        <v>300</v>
      </c>
      <c r="F49" s="61">
        <v>23627</v>
      </c>
      <c r="G49" s="62" t="s">
        <v>301</v>
      </c>
      <c r="H49" s="62" t="s">
        <v>309</v>
      </c>
      <c r="I49" s="62">
        <v>8500</v>
      </c>
      <c r="J49" s="146">
        <v>0</v>
      </c>
    </row>
    <row r="50" spans="2:14">
      <c r="B50" s="88" t="s">
        <v>218</v>
      </c>
      <c r="C50" s="88" t="s">
        <v>219</v>
      </c>
      <c r="D50" s="88" t="s">
        <v>220</v>
      </c>
      <c r="E50" s="88" t="s">
        <v>295</v>
      </c>
      <c r="F50" s="61">
        <v>27889</v>
      </c>
      <c r="G50" s="62" t="s">
        <v>296</v>
      </c>
      <c r="H50" s="62" t="s">
        <v>302</v>
      </c>
      <c r="I50" s="62">
        <v>10880</v>
      </c>
      <c r="J50" s="146">
        <v>1</v>
      </c>
      <c r="N50" s="143"/>
    </row>
    <row r="51" spans="2:14">
      <c r="B51" s="88" t="s">
        <v>330</v>
      </c>
      <c r="C51" s="88" t="s">
        <v>331</v>
      </c>
      <c r="D51" s="88" t="s">
        <v>332</v>
      </c>
      <c r="E51" s="88" t="s">
        <v>295</v>
      </c>
      <c r="F51" s="61">
        <v>28648</v>
      </c>
      <c r="G51" s="62" t="s">
        <v>301</v>
      </c>
      <c r="H51" s="62" t="s">
        <v>309</v>
      </c>
      <c r="I51" s="62">
        <v>5000</v>
      </c>
      <c r="J51" s="146">
        <v>0</v>
      </c>
      <c r="N51" s="143"/>
    </row>
    <row r="52" spans="2:14">
      <c r="B52" s="88" t="s">
        <v>333</v>
      </c>
      <c r="C52" s="88" t="s">
        <v>334</v>
      </c>
      <c r="D52" s="88" t="s">
        <v>335</v>
      </c>
      <c r="E52" s="88" t="s">
        <v>300</v>
      </c>
      <c r="F52" s="61">
        <v>29002</v>
      </c>
      <c r="G52" s="62" t="s">
        <v>296</v>
      </c>
      <c r="H52" s="62" t="s">
        <v>304</v>
      </c>
      <c r="I52" s="62">
        <v>1800</v>
      </c>
      <c r="J52" s="146">
        <v>2</v>
      </c>
      <c r="N52" s="143"/>
    </row>
    <row r="53" spans="2:14">
      <c r="B53" s="88" t="s">
        <v>221</v>
      </c>
      <c r="C53" s="88" t="s">
        <v>222</v>
      </c>
      <c r="D53" s="88" t="s">
        <v>223</v>
      </c>
      <c r="E53" s="88" t="s">
        <v>295</v>
      </c>
      <c r="F53" s="61">
        <v>30827</v>
      </c>
      <c r="G53" s="62" t="s">
        <v>301</v>
      </c>
      <c r="H53" s="62" t="s">
        <v>302</v>
      </c>
      <c r="I53" s="62">
        <v>8500</v>
      </c>
      <c r="J53" s="146">
        <v>0</v>
      </c>
      <c r="N53" s="143"/>
    </row>
    <row r="54" spans="2:14">
      <c r="B54" s="88" t="s">
        <v>224</v>
      </c>
      <c r="C54" s="88" t="s">
        <v>225</v>
      </c>
      <c r="D54" s="88" t="s">
        <v>226</v>
      </c>
      <c r="E54" s="88" t="s">
        <v>300</v>
      </c>
      <c r="F54" s="61">
        <v>33070</v>
      </c>
      <c r="G54" s="62" t="s">
        <v>296</v>
      </c>
      <c r="H54" s="62" t="s">
        <v>304</v>
      </c>
      <c r="I54" s="62">
        <v>9780</v>
      </c>
      <c r="J54" s="146">
        <v>1</v>
      </c>
      <c r="N54" s="143"/>
    </row>
    <row r="55" spans="2:14">
      <c r="B55" s="88" t="s">
        <v>227</v>
      </c>
      <c r="C55" s="88" t="s">
        <v>228</v>
      </c>
      <c r="D55" s="88" t="s">
        <v>229</v>
      </c>
      <c r="E55" s="88" t="s">
        <v>300</v>
      </c>
      <c r="F55" s="61">
        <v>25451</v>
      </c>
      <c r="G55" s="62" t="s">
        <v>301</v>
      </c>
      <c r="H55" s="62" t="s">
        <v>302</v>
      </c>
      <c r="I55" s="62">
        <v>5300</v>
      </c>
      <c r="J55" s="146">
        <v>0</v>
      </c>
      <c r="N55" s="143"/>
    </row>
    <row r="56" spans="2:14">
      <c r="B56" s="88" t="s">
        <v>230</v>
      </c>
      <c r="C56" s="88" t="s">
        <v>231</v>
      </c>
      <c r="D56" s="88" t="s">
        <v>232</v>
      </c>
      <c r="E56" s="88" t="s">
        <v>295</v>
      </c>
      <c r="F56" s="61">
        <v>29906</v>
      </c>
      <c r="G56" s="62" t="s">
        <v>296</v>
      </c>
      <c r="H56" s="62" t="s">
        <v>304</v>
      </c>
      <c r="I56" s="62">
        <v>1900</v>
      </c>
      <c r="J56" s="146">
        <v>2</v>
      </c>
      <c r="N56" s="143"/>
    </row>
    <row r="57" spans="2:14">
      <c r="F57" s="149"/>
      <c r="G57" s="149"/>
      <c r="N57" s="143"/>
    </row>
    <row r="58" spans="2:14">
      <c r="F58" s="149"/>
      <c r="G58" s="149"/>
      <c r="N58" s="143"/>
    </row>
    <row r="59" spans="2:14">
      <c r="F59" s="149"/>
      <c r="G59" s="149"/>
      <c r="N59" s="143"/>
    </row>
    <row r="60" spans="2:14">
      <c r="F60" s="149"/>
      <c r="G60" s="149"/>
      <c r="N60" s="143"/>
    </row>
    <row r="61" spans="2:14">
      <c r="F61" s="149"/>
      <c r="G61" s="149"/>
      <c r="N61" s="143"/>
    </row>
    <row r="62" spans="2:14">
      <c r="F62" s="149"/>
      <c r="G62" s="149"/>
      <c r="N62" s="143"/>
    </row>
    <row r="63" spans="2:14">
      <c r="F63" s="149"/>
      <c r="G63" s="149"/>
      <c r="N63" s="143"/>
    </row>
    <row r="64" spans="2:14">
      <c r="F64" s="149"/>
      <c r="G64" s="149"/>
      <c r="N64" s="143"/>
    </row>
    <row r="65" spans="6:14">
      <c r="F65" s="149"/>
      <c r="G65" s="149"/>
      <c r="N65" s="143"/>
    </row>
    <row r="66" spans="6:14">
      <c r="F66" s="149"/>
      <c r="G66" s="149"/>
      <c r="N66" s="143"/>
    </row>
  </sheetData>
  <conditionalFormatting sqref="O24">
    <cfRule type="cellIs" dxfId="81" priority="1" operator="equal">
      <formula>"нет"</formula>
    </cfRule>
    <cfRule type="cellIs" dxfId="80" priority="2" operator="equal">
      <formula>"да"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 tint="0.59999389629810485"/>
  </sheetPr>
  <dimension ref="D2:R22"/>
  <sheetViews>
    <sheetView zoomScale="130" zoomScaleNormal="130" workbookViewId="0">
      <selection activeCell="D34" sqref="D34"/>
    </sheetView>
  </sheetViews>
  <sheetFormatPr baseColWidth="10" defaultColWidth="8.83203125" defaultRowHeight="15"/>
  <sheetData>
    <row r="2" spans="4:18" ht="16">
      <c r="M2" s="313" t="s">
        <v>1065</v>
      </c>
      <c r="N2" s="314"/>
      <c r="O2" s="314"/>
      <c r="P2" s="314"/>
      <c r="Q2" s="314"/>
      <c r="R2" s="314"/>
    </row>
    <row r="7" spans="4:18">
      <c r="D7" s="414"/>
      <c r="E7" s="414"/>
      <c r="F7" s="414"/>
      <c r="G7" s="414"/>
      <c r="H7" s="414"/>
      <c r="I7" s="414"/>
      <c r="J7" s="414"/>
      <c r="K7" s="414"/>
      <c r="L7" s="414"/>
    </row>
    <row r="8" spans="4:18">
      <c r="D8" s="414"/>
      <c r="E8" s="414"/>
      <c r="F8" s="414"/>
      <c r="G8" s="414"/>
      <c r="H8" s="414"/>
      <c r="I8" s="414"/>
      <c r="J8" s="414"/>
      <c r="K8" s="414"/>
      <c r="L8" s="414"/>
    </row>
    <row r="9" spans="4:18">
      <c r="D9" s="414"/>
      <c r="E9" s="414"/>
      <c r="F9" s="414"/>
      <c r="G9" s="414"/>
      <c r="H9" s="414"/>
      <c r="I9" s="414"/>
      <c r="J9" s="414"/>
      <c r="K9" s="414"/>
      <c r="L9" s="414"/>
    </row>
    <row r="10" spans="4:18">
      <c r="D10" s="414"/>
      <c r="E10" s="414"/>
      <c r="F10" s="414"/>
      <c r="G10" s="414"/>
      <c r="H10" s="414"/>
      <c r="I10" s="414"/>
      <c r="J10" s="414"/>
      <c r="K10" s="414"/>
      <c r="L10" s="414"/>
    </row>
    <row r="11" spans="4:18">
      <c r="D11" s="414"/>
      <c r="E11" s="414"/>
      <c r="F11" s="414"/>
      <c r="G11" s="414"/>
      <c r="H11" s="414"/>
      <c r="I11" s="414"/>
      <c r="J11" s="414"/>
      <c r="K11" s="414"/>
      <c r="L11" s="414"/>
    </row>
    <row r="12" spans="4:18">
      <c r="D12" s="414"/>
      <c r="E12" s="414"/>
      <c r="F12" s="414"/>
      <c r="G12" s="414"/>
      <c r="H12" s="414"/>
      <c r="I12" s="414"/>
      <c r="J12" s="414"/>
      <c r="K12" s="414"/>
      <c r="L12" s="414"/>
    </row>
    <row r="13" spans="4:18">
      <c r="D13" s="414"/>
      <c r="E13" s="414"/>
      <c r="F13" s="414"/>
      <c r="G13" s="414"/>
      <c r="H13" s="414"/>
      <c r="I13" s="414"/>
      <c r="J13" s="414"/>
      <c r="K13" s="414"/>
      <c r="L13" s="414"/>
    </row>
    <row r="14" spans="4:18">
      <c r="D14" s="414"/>
      <c r="E14" s="414"/>
      <c r="F14" s="414"/>
      <c r="G14" s="414"/>
      <c r="H14" s="414"/>
      <c r="I14" s="414"/>
      <c r="J14" s="414"/>
      <c r="K14" s="414"/>
      <c r="L14" s="414"/>
    </row>
    <row r="15" spans="4:18">
      <c r="D15" s="414"/>
      <c r="E15" s="414"/>
      <c r="F15" s="414"/>
      <c r="G15" s="414"/>
      <c r="H15" s="414"/>
      <c r="I15" s="414"/>
      <c r="J15" s="414"/>
      <c r="K15" s="414"/>
      <c r="L15" s="414"/>
    </row>
    <row r="16" spans="4:18">
      <c r="D16" s="414"/>
      <c r="E16" s="414"/>
      <c r="F16" s="414"/>
      <c r="G16" s="414"/>
      <c r="H16" s="414"/>
      <c r="I16" s="414"/>
      <c r="J16" s="414"/>
      <c r="K16" s="414"/>
      <c r="L16" s="414"/>
    </row>
    <row r="17" spans="4:12">
      <c r="D17" s="414"/>
      <c r="E17" s="414"/>
      <c r="F17" s="414"/>
      <c r="G17" s="414"/>
      <c r="H17" s="414"/>
      <c r="I17" s="414"/>
      <c r="J17" s="414"/>
      <c r="K17" s="414"/>
      <c r="L17" s="414"/>
    </row>
    <row r="18" spans="4:12">
      <c r="D18" s="414"/>
      <c r="E18" s="414"/>
      <c r="F18" s="414"/>
      <c r="G18" s="414"/>
      <c r="H18" s="414"/>
      <c r="I18" s="414"/>
      <c r="J18" s="414"/>
      <c r="K18" s="414"/>
      <c r="L18" s="414"/>
    </row>
    <row r="19" spans="4:12">
      <c r="D19" s="414"/>
      <c r="E19" s="414"/>
      <c r="F19" s="414"/>
      <c r="G19" s="414"/>
      <c r="H19" s="414"/>
      <c r="I19" s="414"/>
      <c r="J19" s="414"/>
      <c r="K19" s="414"/>
      <c r="L19" s="414"/>
    </row>
    <row r="22" spans="4:12" ht="16">
      <c r="E22" s="58" t="s">
        <v>897</v>
      </c>
      <c r="F22" s="59"/>
      <c r="G22" s="59"/>
      <c r="H22" s="59"/>
      <c r="I22" s="60" t="s">
        <v>65</v>
      </c>
      <c r="J22" s="57" t="str">
        <f>IF(COUNTA(ВПР_Нач!E18,ВПР1!K20,ВПР2!L8,ВПР3_Пазлы2017!M5)=COUNTIF(ВПР_Нач!E18,"ДА")+COUNTIF(ВПР1!K20,"ДА")+COUNTIF(ВПР2!L8,"ДА")+COUNTIF(ВПР3_Пазлы2017!M5,"ДА"),"ДА","НЕТ")</f>
        <v>ДА</v>
      </c>
    </row>
  </sheetData>
  <mergeCells count="1">
    <mergeCell ref="D7:L19"/>
  </mergeCells>
  <conditionalFormatting sqref="J22">
    <cfRule type="cellIs" dxfId="79" priority="1" operator="equal">
      <formula>"нет"</formula>
    </cfRule>
    <cfRule type="cellIs" dxfId="78" priority="2" operator="equal">
      <formula>"да"</formula>
    </cfRule>
  </conditionalFormatting>
  <pageMargins left="0.7" right="0.7" top="0.75" bottom="0.75" header="0.3" footer="0.3"/>
  <pageSetup paperSize="9" orientation="portrait" horizontalDpi="360" verticalDpi="36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5" tint="0.39997558519241921"/>
  </sheetPr>
  <dimension ref="A1:R33"/>
  <sheetViews>
    <sheetView showGridLines="0" zoomScale="145" zoomScaleNormal="145" workbookViewId="0">
      <selection activeCell="D8" sqref="D8"/>
    </sheetView>
  </sheetViews>
  <sheetFormatPr baseColWidth="10" defaultColWidth="8.83203125" defaultRowHeight="15"/>
  <cols>
    <col min="1" max="1" width="10.5" customWidth="1"/>
    <col min="2" max="2" width="18.6640625" bestFit="1" customWidth="1"/>
    <col min="3" max="3" width="12.33203125" bestFit="1" customWidth="1"/>
    <col min="4" max="4" width="10.83203125" bestFit="1" customWidth="1"/>
    <col min="5" max="5" width="11.1640625" bestFit="1" customWidth="1"/>
    <col min="7" max="7" width="13.33203125" bestFit="1" customWidth="1"/>
    <col min="8" max="11" width="10.5" bestFit="1" customWidth="1"/>
    <col min="13" max="13" width="10.5" bestFit="1" customWidth="1"/>
    <col min="14" max="14" width="6" bestFit="1" customWidth="1"/>
  </cols>
  <sheetData>
    <row r="1" spans="1:13">
      <c r="A1" s="130" t="s">
        <v>429</v>
      </c>
      <c r="F1" s="150" t="s">
        <v>430</v>
      </c>
    </row>
    <row r="2" spans="1:13">
      <c r="A2" s="130"/>
      <c r="B2" s="151" t="s">
        <v>431</v>
      </c>
    </row>
    <row r="3" spans="1:13">
      <c r="A3" s="130"/>
      <c r="B3" s="152" t="s">
        <v>432</v>
      </c>
      <c r="C3" s="152" t="s">
        <v>433</v>
      </c>
      <c r="D3" s="152" t="s">
        <v>82</v>
      </c>
      <c r="F3" s="153" t="s">
        <v>432</v>
      </c>
      <c r="G3" s="153" t="s">
        <v>434</v>
      </c>
      <c r="H3" s="153" t="s">
        <v>82</v>
      </c>
    </row>
    <row r="4" spans="1:13">
      <c r="A4" s="130"/>
      <c r="B4" s="17" t="s">
        <v>435</v>
      </c>
      <c r="C4" s="17" t="s">
        <v>436</v>
      </c>
      <c r="D4" s="238">
        <f>VLOOKUP(B4,F3:H12,3)</f>
        <v>13499</v>
      </c>
      <c r="E4" s="239">
        <v>13499</v>
      </c>
      <c r="F4" s="17" t="s">
        <v>437</v>
      </c>
      <c r="G4" s="17" t="s">
        <v>438</v>
      </c>
      <c r="H4" s="17">
        <v>1500</v>
      </c>
    </row>
    <row r="5" spans="1:13">
      <c r="A5" s="130"/>
      <c r="D5" s="240"/>
      <c r="E5" s="239"/>
      <c r="F5" s="17" t="s">
        <v>439</v>
      </c>
      <c r="G5" s="17" t="s">
        <v>440</v>
      </c>
      <c r="H5" s="17">
        <v>1680</v>
      </c>
    </row>
    <row r="6" spans="1:13">
      <c r="B6" s="152" t="s">
        <v>432</v>
      </c>
      <c r="C6" s="152" t="s">
        <v>433</v>
      </c>
      <c r="D6" s="241" t="s">
        <v>432</v>
      </c>
      <c r="E6" s="239"/>
      <c r="F6" s="17" t="s">
        <v>435</v>
      </c>
      <c r="G6" s="17" t="s">
        <v>438</v>
      </c>
      <c r="H6" s="17">
        <v>13499</v>
      </c>
    </row>
    <row r="7" spans="1:13">
      <c r="B7" s="17" t="s">
        <v>435</v>
      </c>
      <c r="C7" s="17" t="s">
        <v>436</v>
      </c>
      <c r="D7" s="238" t="str">
        <f>VLOOKUP(B7,F4:H12,1,0)</f>
        <v>М003</v>
      </c>
      <c r="E7" s="239" t="s">
        <v>435</v>
      </c>
      <c r="F7" s="17" t="s">
        <v>441</v>
      </c>
      <c r="G7" s="17" t="s">
        <v>438</v>
      </c>
      <c r="H7" s="17">
        <v>560</v>
      </c>
    </row>
    <row r="8" spans="1:13">
      <c r="B8" s="17" t="s">
        <v>445</v>
      </c>
      <c r="C8" s="17" t="s">
        <v>436</v>
      </c>
      <c r="D8" s="238" t="e">
        <f>VLOOKUP(B8,F4:H12,1,0)</f>
        <v>#N/A</v>
      </c>
      <c r="E8" s="239" t="e">
        <v>#N/A</v>
      </c>
      <c r="F8" s="17" t="s">
        <v>442</v>
      </c>
      <c r="G8" s="17" t="s">
        <v>440</v>
      </c>
      <c r="H8" s="17">
        <v>3200</v>
      </c>
    </row>
    <row r="9" spans="1:13">
      <c r="F9" s="17" t="s">
        <v>443</v>
      </c>
      <c r="G9" s="17" t="s">
        <v>444</v>
      </c>
      <c r="H9" s="154">
        <v>4400</v>
      </c>
    </row>
    <row r="10" spans="1:13">
      <c r="F10" s="17" t="s">
        <v>446</v>
      </c>
      <c r="G10" s="17" t="s">
        <v>438</v>
      </c>
      <c r="H10" s="154">
        <v>999</v>
      </c>
    </row>
    <row r="11" spans="1:13">
      <c r="F11" s="17" t="s">
        <v>447</v>
      </c>
      <c r="G11" s="17" t="s">
        <v>444</v>
      </c>
      <c r="H11" s="154">
        <v>6480</v>
      </c>
    </row>
    <row r="12" spans="1:13">
      <c r="F12" s="17" t="s">
        <v>448</v>
      </c>
      <c r="G12" s="17" t="s">
        <v>449</v>
      </c>
      <c r="H12" s="154">
        <v>1790</v>
      </c>
    </row>
    <row r="15" spans="1:13" ht="16">
      <c r="G15" s="115"/>
      <c r="H15" s="115"/>
      <c r="I15" s="127"/>
      <c r="J15" s="127"/>
      <c r="K15" s="120"/>
      <c r="L15" s="115"/>
      <c r="M15" s="194"/>
    </row>
    <row r="16" spans="1:13" ht="16">
      <c r="B16" s="51" t="s">
        <v>59</v>
      </c>
      <c r="C16" s="52"/>
      <c r="D16" s="53" t="s">
        <v>60</v>
      </c>
      <c r="E16" s="52">
        <v>2</v>
      </c>
      <c r="G16" s="115"/>
      <c r="H16" s="115"/>
      <c r="M16" s="194"/>
    </row>
    <row r="17" spans="2:18" ht="16">
      <c r="B17" s="54"/>
      <c r="C17" s="54"/>
      <c r="D17" s="59"/>
      <c r="E17" s="60" t="s">
        <v>893</v>
      </c>
      <c r="G17" s="115"/>
      <c r="H17" s="115"/>
      <c r="M17" s="194"/>
    </row>
    <row r="18" spans="2:18" ht="21">
      <c r="B18" s="55" t="s">
        <v>898</v>
      </c>
      <c r="C18" s="56"/>
      <c r="D18" s="56"/>
      <c r="E18" s="57" t="str">
        <f t="array" ref="E18">IF(SUM(COUNTIF(D4:D7,E4:E7))=2,"ДА","НЕТ")</f>
        <v>ДА</v>
      </c>
      <c r="G18" s="115"/>
      <c r="H18" s="115"/>
      <c r="I18" s="27"/>
      <c r="M18" s="194"/>
    </row>
    <row r="19" spans="2:18" ht="21">
      <c r="G19" s="115"/>
      <c r="H19" s="115"/>
      <c r="J19" s="63"/>
      <c r="K19" s="63"/>
      <c r="L19" s="63"/>
      <c r="M19" s="194"/>
    </row>
    <row r="20" spans="2:18" ht="16">
      <c r="G20" s="115"/>
      <c r="H20" s="115"/>
      <c r="I20" s="127"/>
      <c r="J20" s="127"/>
      <c r="K20" s="120"/>
      <c r="L20" s="115"/>
      <c r="M20" s="194"/>
      <c r="N20" s="120"/>
      <c r="O20" s="115"/>
      <c r="P20" s="115"/>
      <c r="Q20" s="115"/>
      <c r="R20" s="115"/>
    </row>
    <row r="21" spans="2:18" ht="11.25" customHeight="1">
      <c r="G21" s="115"/>
      <c r="H21" s="115"/>
      <c r="I21" s="127"/>
      <c r="J21" s="127"/>
      <c r="K21" s="120"/>
      <c r="L21" s="115"/>
      <c r="M21" s="194"/>
    </row>
    <row r="22" spans="2:18" ht="16">
      <c r="G22" s="115"/>
      <c r="H22" s="115"/>
      <c r="I22" s="115"/>
      <c r="J22" s="115"/>
      <c r="K22" s="117"/>
      <c r="L22" s="115"/>
      <c r="M22" s="194"/>
    </row>
    <row r="23" spans="2:18" ht="21">
      <c r="L23" s="27"/>
    </row>
    <row r="24" spans="2:18" ht="21">
      <c r="M24" s="63"/>
      <c r="N24" s="63"/>
      <c r="O24" s="63"/>
      <c r="P24" s="63"/>
    </row>
    <row r="25" spans="2:18" ht="16">
      <c r="L25" s="127"/>
      <c r="M25" s="127"/>
      <c r="N25" s="120"/>
      <c r="O25" s="115"/>
      <c r="P25" s="115"/>
      <c r="Q25" s="115"/>
      <c r="R25" s="115"/>
    </row>
    <row r="26" spans="2:18" ht="16">
      <c r="C26" s="115"/>
      <c r="D26" s="115"/>
      <c r="E26" s="127"/>
      <c r="F26" s="127"/>
      <c r="G26" s="120"/>
      <c r="L26" s="127"/>
      <c r="M26" s="127"/>
      <c r="N26" s="120"/>
      <c r="O26" s="115"/>
      <c r="P26" s="115"/>
      <c r="Q26" s="115"/>
      <c r="R26" s="115"/>
    </row>
    <row r="27" spans="2:18" ht="16">
      <c r="C27" s="115"/>
      <c r="D27" s="115"/>
      <c r="L27" s="115"/>
      <c r="M27" s="115"/>
      <c r="N27" s="117"/>
      <c r="O27" s="115"/>
      <c r="P27" s="115"/>
      <c r="Q27" s="115"/>
      <c r="R27" s="115"/>
    </row>
    <row r="28" spans="2:18" ht="16">
      <c r="C28" s="115"/>
      <c r="D28" s="115"/>
      <c r="L28" s="115"/>
      <c r="M28" s="115"/>
      <c r="N28" s="117"/>
      <c r="O28" s="115"/>
      <c r="P28" s="115"/>
      <c r="Q28" s="115"/>
      <c r="R28" s="115"/>
    </row>
    <row r="29" spans="2:18" ht="21">
      <c r="C29" s="115"/>
      <c r="D29" s="115"/>
      <c r="E29" s="27"/>
      <c r="L29" s="115"/>
      <c r="M29" s="115"/>
      <c r="N29" s="117"/>
      <c r="O29" s="115"/>
      <c r="P29" s="115"/>
      <c r="Q29" s="115"/>
      <c r="R29" s="115"/>
    </row>
    <row r="30" spans="2:18" ht="21">
      <c r="C30" s="115"/>
      <c r="D30" s="115"/>
      <c r="F30" s="63"/>
      <c r="G30" s="63"/>
      <c r="L30" s="115"/>
      <c r="M30" s="115"/>
      <c r="N30" s="117"/>
      <c r="O30" s="115"/>
      <c r="P30" s="115"/>
      <c r="Q30" s="115"/>
      <c r="R30" s="115"/>
    </row>
    <row r="31" spans="2:18" ht="16">
      <c r="C31" s="115"/>
      <c r="D31" s="115"/>
      <c r="E31" s="127"/>
      <c r="F31" s="127"/>
      <c r="G31" s="120"/>
      <c r="K31" s="115"/>
      <c r="L31" s="115"/>
      <c r="M31" s="115"/>
      <c r="N31" s="117"/>
      <c r="O31" s="115"/>
      <c r="P31" s="115"/>
      <c r="Q31" s="115"/>
      <c r="R31" s="115"/>
    </row>
    <row r="32" spans="2:18" ht="16">
      <c r="C32" s="115"/>
      <c r="D32" s="115"/>
      <c r="E32" s="127"/>
      <c r="F32" s="127"/>
      <c r="G32" s="120"/>
    </row>
    <row r="33" spans="3:7" ht="16">
      <c r="C33" s="115"/>
      <c r="D33" s="115"/>
      <c r="E33" s="115"/>
      <c r="F33" s="115"/>
      <c r="G33" s="117"/>
    </row>
  </sheetData>
  <conditionalFormatting sqref="E18">
    <cfRule type="cellIs" dxfId="77" priority="1" operator="equal">
      <formula>"нет"</formula>
    </cfRule>
    <cfRule type="cellIs" dxfId="76" priority="2" operator="equal">
      <formula>"да"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9"/>
  </sheetPr>
  <dimension ref="A1:K26"/>
  <sheetViews>
    <sheetView showGridLines="0" workbookViewId="0">
      <selection activeCell="I24" sqref="I24"/>
    </sheetView>
  </sheetViews>
  <sheetFormatPr baseColWidth="10" defaultColWidth="9.1640625" defaultRowHeight="16"/>
  <cols>
    <col min="1" max="1" width="3.5" style="135" bestFit="1" customWidth="1"/>
    <col min="2" max="2" width="36.5" style="135" bestFit="1" customWidth="1"/>
    <col min="3" max="3" width="22.83203125" style="135" bestFit="1" customWidth="1"/>
    <col min="4" max="4" width="10.33203125" style="135" bestFit="1" customWidth="1"/>
    <col min="5" max="6" width="9.1640625" style="135"/>
    <col min="7" max="7" width="3.5" style="135" bestFit="1" customWidth="1"/>
    <col min="8" max="8" width="22.83203125" style="135" bestFit="1" customWidth="1"/>
    <col min="9" max="9" width="17.1640625" style="135" bestFit="1" customWidth="1"/>
    <col min="10" max="10" width="9.1640625" style="135"/>
    <col min="11" max="11" width="10.1640625" style="135" bestFit="1" customWidth="1"/>
    <col min="12" max="16384" width="9.1640625" style="135"/>
  </cols>
  <sheetData>
    <row r="1" spans="1:11" ht="19">
      <c r="A1" s="116" t="s">
        <v>450</v>
      </c>
    </row>
    <row r="2" spans="1:11" ht="8.25" customHeight="1">
      <c r="A2" s="116"/>
    </row>
    <row r="3" spans="1:11">
      <c r="A3" s="119" t="s">
        <v>80</v>
      </c>
      <c r="B3" s="119" t="s">
        <v>451</v>
      </c>
      <c r="C3" s="119" t="s">
        <v>452</v>
      </c>
      <c r="D3" s="119" t="s">
        <v>453</v>
      </c>
      <c r="E3" s="136"/>
      <c r="F3" s="136"/>
      <c r="G3" s="119" t="s">
        <v>80</v>
      </c>
      <c r="H3" s="119" t="s">
        <v>452</v>
      </c>
      <c r="I3" s="119" t="s">
        <v>454</v>
      </c>
      <c r="J3" s="119" t="s">
        <v>455</v>
      </c>
      <c r="K3" s="136"/>
    </row>
    <row r="4" spans="1:11">
      <c r="A4" s="62">
        <v>1</v>
      </c>
      <c r="B4" s="62" t="s">
        <v>456</v>
      </c>
      <c r="C4" s="62" t="s">
        <v>457</v>
      </c>
      <c r="D4" s="62">
        <f>VLOOKUP(C4,$H$4:$J$12,3,0)</f>
        <v>35000</v>
      </c>
      <c r="E4" s="242">
        <v>35000</v>
      </c>
      <c r="F4" s="136"/>
      <c r="G4" s="62">
        <v>1</v>
      </c>
      <c r="H4" s="62" t="s">
        <v>458</v>
      </c>
      <c r="I4" s="62" t="s">
        <v>459</v>
      </c>
      <c r="J4" s="156">
        <v>90000</v>
      </c>
      <c r="K4" s="136"/>
    </row>
    <row r="5" spans="1:11">
      <c r="A5" s="62">
        <v>2</v>
      </c>
      <c r="B5" s="62" t="s">
        <v>460</v>
      </c>
      <c r="C5" s="62" t="s">
        <v>461</v>
      </c>
      <c r="D5" s="62">
        <f t="shared" ref="D5:D26" si="0">VLOOKUP(C5,$H$4:$J$12,3,0)</f>
        <v>45000</v>
      </c>
      <c r="E5" s="242">
        <v>45000</v>
      </c>
      <c r="F5" s="136"/>
      <c r="G5" s="62">
        <v>2</v>
      </c>
      <c r="H5" s="62" t="s">
        <v>462</v>
      </c>
      <c r="I5" s="62" t="s">
        <v>463</v>
      </c>
      <c r="J5" s="156">
        <v>80000</v>
      </c>
      <c r="K5" s="136"/>
    </row>
    <row r="6" spans="1:11">
      <c r="A6" s="62">
        <v>3</v>
      </c>
      <c r="B6" s="62" t="s">
        <v>464</v>
      </c>
      <c r="C6" s="62" t="s">
        <v>465</v>
      </c>
      <c r="D6" s="62">
        <f t="shared" si="0"/>
        <v>50000</v>
      </c>
      <c r="E6" s="242">
        <v>50000</v>
      </c>
      <c r="F6" s="136"/>
      <c r="G6" s="62">
        <v>3</v>
      </c>
      <c r="H6" s="62" t="s">
        <v>466</v>
      </c>
      <c r="I6" s="62" t="s">
        <v>467</v>
      </c>
      <c r="J6" s="156">
        <v>70000</v>
      </c>
      <c r="K6" s="136"/>
    </row>
    <row r="7" spans="1:11">
      <c r="A7" s="62">
        <v>4</v>
      </c>
      <c r="B7" s="62" t="s">
        <v>468</v>
      </c>
      <c r="C7" s="62" t="s">
        <v>458</v>
      </c>
      <c r="D7" s="62">
        <f t="shared" si="0"/>
        <v>90000</v>
      </c>
      <c r="E7" s="242">
        <v>90000</v>
      </c>
      <c r="F7" s="136"/>
      <c r="G7" s="62">
        <v>4</v>
      </c>
      <c r="H7" s="62" t="s">
        <v>469</v>
      </c>
      <c r="I7" s="62" t="s">
        <v>470</v>
      </c>
      <c r="J7" s="156">
        <v>65000</v>
      </c>
      <c r="K7" s="136"/>
    </row>
    <row r="8" spans="1:11">
      <c r="A8" s="62">
        <v>5</v>
      </c>
      <c r="B8" s="62" t="s">
        <v>471</v>
      </c>
      <c r="C8" s="62" t="s">
        <v>472</v>
      </c>
      <c r="D8" s="62">
        <f t="shared" si="0"/>
        <v>60000</v>
      </c>
      <c r="E8" s="242">
        <v>60000</v>
      </c>
      <c r="F8" s="136"/>
      <c r="G8" s="62">
        <v>5</v>
      </c>
      <c r="H8" s="62" t="s">
        <v>472</v>
      </c>
      <c r="I8" s="62" t="s">
        <v>473</v>
      </c>
      <c r="J8" s="156">
        <v>60000</v>
      </c>
      <c r="K8" s="136"/>
    </row>
    <row r="9" spans="1:11">
      <c r="A9" s="62">
        <v>6</v>
      </c>
      <c r="B9" s="62" t="s">
        <v>474</v>
      </c>
      <c r="C9" s="62" t="s">
        <v>475</v>
      </c>
      <c r="D9" s="62">
        <f t="shared" si="0"/>
        <v>50000</v>
      </c>
      <c r="E9" s="242">
        <v>50000</v>
      </c>
      <c r="F9" s="136"/>
      <c r="G9" s="62">
        <v>6</v>
      </c>
      <c r="H9" s="62" t="s">
        <v>465</v>
      </c>
      <c r="I9" s="62" t="s">
        <v>476</v>
      </c>
      <c r="J9" s="156">
        <v>50000</v>
      </c>
      <c r="K9" s="136"/>
    </row>
    <row r="10" spans="1:11">
      <c r="A10" s="62">
        <v>7</v>
      </c>
      <c r="B10" s="62" t="s">
        <v>477</v>
      </c>
      <c r="C10" s="62" t="s">
        <v>466</v>
      </c>
      <c r="D10" s="62">
        <f t="shared" si="0"/>
        <v>70000</v>
      </c>
      <c r="E10" s="242">
        <v>70000</v>
      </c>
      <c r="F10" s="136"/>
      <c r="G10" s="62">
        <v>7</v>
      </c>
      <c r="H10" s="62" t="s">
        <v>475</v>
      </c>
      <c r="I10" s="62" t="s">
        <v>478</v>
      </c>
      <c r="J10" s="156">
        <v>50000</v>
      </c>
      <c r="K10" s="136"/>
    </row>
    <row r="11" spans="1:11">
      <c r="A11" s="62">
        <v>8</v>
      </c>
      <c r="B11" s="62" t="s">
        <v>479</v>
      </c>
      <c r="C11" s="62" t="s">
        <v>457</v>
      </c>
      <c r="D11" s="62">
        <f t="shared" si="0"/>
        <v>35000</v>
      </c>
      <c r="E11" s="242">
        <v>35000</v>
      </c>
      <c r="F11" s="136"/>
      <c r="G11" s="62">
        <v>8</v>
      </c>
      <c r="H11" s="62" t="s">
        <v>461</v>
      </c>
      <c r="I11" s="62" t="s">
        <v>480</v>
      </c>
      <c r="J11" s="156">
        <v>45000</v>
      </c>
      <c r="K11" s="136"/>
    </row>
    <row r="12" spans="1:11">
      <c r="A12" s="62">
        <v>9</v>
      </c>
      <c r="B12" s="62" t="s">
        <v>481</v>
      </c>
      <c r="C12" s="62" t="s">
        <v>469</v>
      </c>
      <c r="D12" s="62">
        <f t="shared" si="0"/>
        <v>65000</v>
      </c>
      <c r="E12" s="242">
        <v>65000</v>
      </c>
      <c r="F12" s="136"/>
      <c r="G12" s="62">
        <v>9</v>
      </c>
      <c r="H12" s="62" t="s">
        <v>457</v>
      </c>
      <c r="I12" s="62" t="s">
        <v>482</v>
      </c>
      <c r="J12" s="156">
        <v>35000</v>
      </c>
      <c r="K12" s="136"/>
    </row>
    <row r="13" spans="1:11">
      <c r="A13" s="62">
        <v>10</v>
      </c>
      <c r="B13" s="62" t="s">
        <v>483</v>
      </c>
      <c r="C13" s="62" t="s">
        <v>461</v>
      </c>
      <c r="D13" s="62">
        <f t="shared" si="0"/>
        <v>45000</v>
      </c>
      <c r="E13" s="242">
        <v>45000</v>
      </c>
      <c r="F13" s="136"/>
      <c r="G13" s="136"/>
      <c r="H13" s="136"/>
      <c r="I13" s="136"/>
      <c r="J13" s="136"/>
      <c r="K13" s="136"/>
    </row>
    <row r="14" spans="1:11">
      <c r="A14" s="62">
        <v>11</v>
      </c>
      <c r="B14" s="62" t="s">
        <v>484</v>
      </c>
      <c r="C14" s="62" t="s">
        <v>462</v>
      </c>
      <c r="D14" s="62">
        <f t="shared" si="0"/>
        <v>80000</v>
      </c>
      <c r="E14" s="242">
        <v>80000</v>
      </c>
      <c r="F14" s="136"/>
      <c r="G14" s="136"/>
      <c r="I14" s="157" t="s">
        <v>485</v>
      </c>
      <c r="J14" s="136">
        <f>SUM(D4:D26)</f>
        <v>1195000</v>
      </c>
      <c r="K14" s="158">
        <v>1195000</v>
      </c>
    </row>
    <row r="15" spans="1:11">
      <c r="A15" s="62">
        <v>12</v>
      </c>
      <c r="B15" s="62" t="s">
        <v>486</v>
      </c>
      <c r="C15" s="62" t="s">
        <v>461</v>
      </c>
      <c r="D15" s="62">
        <f t="shared" si="0"/>
        <v>45000</v>
      </c>
      <c r="E15" s="242">
        <v>45000</v>
      </c>
      <c r="F15" s="136"/>
      <c r="G15" s="136"/>
      <c r="H15" s="136"/>
      <c r="I15" s="136"/>
      <c r="J15" s="136"/>
      <c r="K15" s="136"/>
    </row>
    <row r="16" spans="1:11">
      <c r="A16" s="62">
        <v>13</v>
      </c>
      <c r="B16" s="62" t="s">
        <v>487</v>
      </c>
      <c r="C16" s="62" t="s">
        <v>466</v>
      </c>
      <c r="D16" s="62">
        <f t="shared" si="0"/>
        <v>70000</v>
      </c>
      <c r="E16" s="242">
        <v>70000</v>
      </c>
      <c r="F16" s="136"/>
      <c r="G16"/>
      <c r="H16"/>
      <c r="I16"/>
      <c r="J16" s="136"/>
    </row>
    <row r="17" spans="1:11">
      <c r="A17" s="62">
        <v>14</v>
      </c>
      <c r="B17" s="62" t="s">
        <v>488</v>
      </c>
      <c r="C17" s="62" t="s">
        <v>469</v>
      </c>
      <c r="D17" s="62">
        <f t="shared" si="0"/>
        <v>65000</v>
      </c>
      <c r="E17" s="242">
        <v>65000</v>
      </c>
      <c r="F17" s="136"/>
      <c r="G17"/>
      <c r="H17"/>
      <c r="I17"/>
      <c r="J17" s="136"/>
    </row>
    <row r="18" spans="1:11">
      <c r="A18" s="62">
        <v>15</v>
      </c>
      <c r="B18" s="62" t="s">
        <v>489</v>
      </c>
      <c r="C18" s="62" t="s">
        <v>475</v>
      </c>
      <c r="D18" s="62">
        <f t="shared" si="0"/>
        <v>50000</v>
      </c>
      <c r="E18" s="242">
        <v>50000</v>
      </c>
      <c r="F18" s="136"/>
      <c r="G18"/>
      <c r="H18" s="51" t="s">
        <v>59</v>
      </c>
      <c r="I18" s="52"/>
      <c r="J18" s="53" t="s">
        <v>60</v>
      </c>
      <c r="K18" s="52">
        <v>1</v>
      </c>
    </row>
    <row r="19" spans="1:11">
      <c r="A19" s="62">
        <v>16</v>
      </c>
      <c r="B19" s="62" t="s">
        <v>490</v>
      </c>
      <c r="C19" s="62" t="s">
        <v>457</v>
      </c>
      <c r="D19" s="62">
        <f t="shared" si="0"/>
        <v>35000</v>
      </c>
      <c r="E19" s="242">
        <v>35000</v>
      </c>
      <c r="F19" s="136"/>
      <c r="G19"/>
      <c r="H19" s="54"/>
      <c r="I19" s="54"/>
      <c r="J19" s="59"/>
      <c r="K19" s="60" t="s">
        <v>893</v>
      </c>
    </row>
    <row r="20" spans="1:11">
      <c r="A20" s="62">
        <v>17</v>
      </c>
      <c r="B20" s="62" t="s">
        <v>491</v>
      </c>
      <c r="C20" s="62" t="s">
        <v>461</v>
      </c>
      <c r="D20" s="62">
        <f t="shared" si="0"/>
        <v>45000</v>
      </c>
      <c r="E20" s="242">
        <v>45000</v>
      </c>
      <c r="F20" s="136"/>
      <c r="G20"/>
      <c r="H20" s="55" t="s">
        <v>1018</v>
      </c>
      <c r="I20" s="56"/>
      <c r="J20" s="56"/>
      <c r="K20" s="57" t="str">
        <f>IF(SUM(COUNTIF(J14,K14))=COUNT(J14),"ДА","НЕТ")</f>
        <v>ДА</v>
      </c>
    </row>
    <row r="21" spans="1:11">
      <c r="A21" s="62">
        <v>18</v>
      </c>
      <c r="B21" s="62" t="s">
        <v>492</v>
      </c>
      <c r="C21" s="62" t="s">
        <v>461</v>
      </c>
      <c r="D21" s="62">
        <f t="shared" si="0"/>
        <v>45000</v>
      </c>
      <c r="E21" s="242">
        <v>45000</v>
      </c>
      <c r="F21" s="136"/>
      <c r="G21"/>
      <c r="H21"/>
      <c r="I21"/>
      <c r="J21" s="136"/>
    </row>
    <row r="22" spans="1:11">
      <c r="A22" s="62">
        <v>19</v>
      </c>
      <c r="B22" s="62" t="s">
        <v>493</v>
      </c>
      <c r="C22" s="62" t="s">
        <v>475</v>
      </c>
      <c r="D22" s="62">
        <f t="shared" si="0"/>
        <v>50000</v>
      </c>
      <c r="E22" s="242">
        <v>50000</v>
      </c>
      <c r="F22" s="136"/>
      <c r="G22"/>
      <c r="H22"/>
      <c r="I22"/>
      <c r="J22" s="136"/>
    </row>
    <row r="23" spans="1:11">
      <c r="A23" s="62">
        <v>20</v>
      </c>
      <c r="B23" s="62" t="s">
        <v>494</v>
      </c>
      <c r="C23" s="62" t="s">
        <v>465</v>
      </c>
      <c r="D23" s="62">
        <f t="shared" si="0"/>
        <v>50000</v>
      </c>
      <c r="E23" s="242">
        <v>50000</v>
      </c>
      <c r="F23" s="136"/>
      <c r="G23"/>
      <c r="H23"/>
      <c r="I23"/>
      <c r="J23" s="136"/>
    </row>
    <row r="24" spans="1:11">
      <c r="A24" s="62">
        <v>21</v>
      </c>
      <c r="B24" s="62" t="s">
        <v>495</v>
      </c>
      <c r="C24" s="62" t="s">
        <v>457</v>
      </c>
      <c r="D24" s="62">
        <f t="shared" si="0"/>
        <v>35000</v>
      </c>
      <c r="E24" s="242">
        <v>35000</v>
      </c>
      <c r="F24" s="136"/>
      <c r="G24"/>
      <c r="H24"/>
      <c r="I24"/>
      <c r="J24" s="136"/>
    </row>
    <row r="25" spans="1:11">
      <c r="A25" s="62">
        <v>22</v>
      </c>
      <c r="B25" s="62" t="s">
        <v>496</v>
      </c>
      <c r="C25" s="62" t="s">
        <v>461</v>
      </c>
      <c r="D25" s="62">
        <f t="shared" si="0"/>
        <v>45000</v>
      </c>
      <c r="E25" s="242">
        <v>45000</v>
      </c>
      <c r="F25" s="136"/>
      <c r="G25"/>
      <c r="H25"/>
      <c r="I25"/>
      <c r="J25" s="136"/>
    </row>
    <row r="26" spans="1:11">
      <c r="A26" s="62">
        <v>23</v>
      </c>
      <c r="B26" s="62" t="s">
        <v>497</v>
      </c>
      <c r="C26" s="62" t="s">
        <v>457</v>
      </c>
      <c r="D26" s="62">
        <f t="shared" si="0"/>
        <v>35000</v>
      </c>
      <c r="E26" s="242">
        <v>35000</v>
      </c>
      <c r="F26" s="136"/>
      <c r="G26" s="136"/>
      <c r="H26" s="136"/>
      <c r="I26" s="136"/>
      <c r="J26" s="136"/>
      <c r="K26" s="136"/>
    </row>
  </sheetData>
  <conditionalFormatting sqref="K20">
    <cfRule type="cellIs" dxfId="75" priority="1" operator="equal">
      <formula>"нет"</formula>
    </cfRule>
    <cfRule type="cellIs" dxfId="74" priority="2" operator="equal">
      <formula>"да"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9"/>
  </sheetPr>
  <dimension ref="A1:L29"/>
  <sheetViews>
    <sheetView showGridLines="0" topLeftCell="S1" workbookViewId="0">
      <selection activeCell="C5" sqref="C5"/>
    </sheetView>
  </sheetViews>
  <sheetFormatPr baseColWidth="10" defaultColWidth="9.1640625" defaultRowHeight="16"/>
  <cols>
    <col min="1" max="1" width="10.1640625" style="135" bestFit="1" customWidth="1"/>
    <col min="2" max="2" width="9.1640625" style="135"/>
    <col min="3" max="3" width="16.1640625" style="135" customWidth="1"/>
    <col min="4" max="4" width="9.1640625" style="135"/>
    <col min="5" max="5" width="10.33203125" style="135" customWidth="1"/>
    <col min="6" max="6" width="9.1640625" style="135"/>
    <col min="7" max="7" width="17.5" style="135" customWidth="1"/>
    <col min="8" max="8" width="9.1640625" style="135"/>
    <col min="9" max="9" width="22.33203125" style="135" bestFit="1" customWidth="1"/>
    <col min="10" max="10" width="13.6640625" style="135" customWidth="1"/>
    <col min="11" max="16384" width="9.1640625" style="135"/>
  </cols>
  <sheetData>
    <row r="1" spans="1:12" ht="19">
      <c r="A1" s="116" t="s">
        <v>498</v>
      </c>
    </row>
    <row r="2" spans="1:12" ht="12.75" customHeight="1">
      <c r="A2" s="116"/>
    </row>
    <row r="3" spans="1:12" ht="32">
      <c r="A3" s="119" t="s">
        <v>499</v>
      </c>
      <c r="B3" s="119" t="s">
        <v>500</v>
      </c>
      <c r="C3" s="119" t="s">
        <v>501</v>
      </c>
      <c r="D3" s="159"/>
      <c r="E3" s="119" t="s">
        <v>502</v>
      </c>
      <c r="F3" s="119" t="s">
        <v>500</v>
      </c>
      <c r="G3" s="119" t="s">
        <v>501</v>
      </c>
      <c r="I3" s="157" t="s">
        <v>503</v>
      </c>
      <c r="J3" s="160">
        <f>SUM(C4:C18)</f>
        <v>12000</v>
      </c>
      <c r="K3" s="158">
        <v>12000</v>
      </c>
    </row>
    <row r="4" spans="1:12">
      <c r="A4" s="62" t="s">
        <v>504</v>
      </c>
      <c r="B4" s="161">
        <v>0.57300000000000006</v>
      </c>
      <c r="C4" s="62">
        <f>VLOOKUP(B4,$F$4:$G$8,2,1)</f>
        <v>700</v>
      </c>
      <c r="D4" s="159"/>
      <c r="E4" s="162">
        <v>1</v>
      </c>
      <c r="F4" s="163">
        <v>0</v>
      </c>
      <c r="G4" s="62">
        <v>500</v>
      </c>
    </row>
    <row r="5" spans="1:12">
      <c r="A5" s="62" t="s">
        <v>505</v>
      </c>
      <c r="B5" s="161">
        <v>1.6280000000000001</v>
      </c>
      <c r="C5" s="62">
        <f t="shared" ref="C5:C18" si="0">VLOOKUP(B5,$F$4:$G$8,2,1)</f>
        <v>900</v>
      </c>
      <c r="D5" s="159"/>
      <c r="E5" s="162">
        <v>2</v>
      </c>
      <c r="F5" s="163">
        <v>0.5</v>
      </c>
      <c r="G5" s="62">
        <v>700</v>
      </c>
    </row>
    <row r="6" spans="1:12">
      <c r="A6" s="62" t="s">
        <v>506</v>
      </c>
      <c r="B6" s="161">
        <v>0.43</v>
      </c>
      <c r="C6" s="62">
        <f t="shared" si="0"/>
        <v>500</v>
      </c>
      <c r="D6" s="159"/>
      <c r="E6" s="162">
        <v>3</v>
      </c>
      <c r="F6" s="163">
        <v>1</v>
      </c>
      <c r="G6" s="62">
        <v>900</v>
      </c>
      <c r="I6" s="51" t="s">
        <v>59</v>
      </c>
      <c r="J6" s="52"/>
      <c r="K6" s="53" t="s">
        <v>60</v>
      </c>
      <c r="L6" s="52">
        <v>1</v>
      </c>
    </row>
    <row r="7" spans="1:12">
      <c r="A7" s="62" t="s">
        <v>507</v>
      </c>
      <c r="B7" s="161">
        <v>2.8</v>
      </c>
      <c r="C7" s="62">
        <f t="shared" si="0"/>
        <v>1200</v>
      </c>
      <c r="D7" s="159"/>
      <c r="E7" s="162">
        <v>4</v>
      </c>
      <c r="F7" s="163">
        <v>2.5</v>
      </c>
      <c r="G7" s="62">
        <v>1200</v>
      </c>
      <c r="I7" s="54"/>
      <c r="J7" s="54"/>
      <c r="K7" s="59"/>
      <c r="L7" s="60" t="s">
        <v>893</v>
      </c>
    </row>
    <row r="8" spans="1:12">
      <c r="A8" s="62" t="s">
        <v>508</v>
      </c>
      <c r="B8" s="161">
        <v>1.1879999999999999</v>
      </c>
      <c r="C8" s="62">
        <f t="shared" si="0"/>
        <v>900</v>
      </c>
      <c r="D8" s="159"/>
      <c r="E8" s="162">
        <v>5</v>
      </c>
      <c r="F8" s="163">
        <v>5</v>
      </c>
      <c r="G8" s="62">
        <v>1500</v>
      </c>
      <c r="I8" s="55" t="s">
        <v>1019</v>
      </c>
      <c r="J8" s="56"/>
      <c r="K8" s="56"/>
      <c r="L8" s="57" t="str">
        <f>IF(SUM(COUNTIF(J3,K3))=COUNT(J3),"ДА","НЕТ")</f>
        <v>ДА</v>
      </c>
    </row>
    <row r="9" spans="1:12">
      <c r="A9" s="62" t="s">
        <v>509</v>
      </c>
      <c r="B9" s="161">
        <v>0.13100000000000001</v>
      </c>
      <c r="C9" s="62">
        <f t="shared" si="0"/>
        <v>500</v>
      </c>
      <c r="D9" s="159"/>
      <c r="E9" s="159"/>
      <c r="F9" s="159"/>
      <c r="G9" s="159"/>
    </row>
    <row r="10" spans="1:12">
      <c r="A10" s="62" t="s">
        <v>510</v>
      </c>
      <c r="B10" s="161">
        <v>7.5</v>
      </c>
      <c r="C10" s="62">
        <f t="shared" si="0"/>
        <v>1500</v>
      </c>
      <c r="D10" s="159"/>
    </row>
    <row r="11" spans="1:12">
      <c r="A11" s="62" t="s">
        <v>511</v>
      </c>
      <c r="B11" s="161">
        <v>4.9000000000000002E-2</v>
      </c>
      <c r="C11" s="62">
        <f t="shared" si="0"/>
        <v>500</v>
      </c>
      <c r="D11" s="159"/>
    </row>
    <row r="12" spans="1:12">
      <c r="A12" s="62" t="s">
        <v>512</v>
      </c>
      <c r="B12" s="161">
        <v>0.621</v>
      </c>
      <c r="C12" s="62">
        <f t="shared" si="0"/>
        <v>700</v>
      </c>
      <c r="D12" s="159"/>
      <c r="F12"/>
      <c r="G12"/>
      <c r="H12"/>
      <c r="I12"/>
      <c r="J12"/>
    </row>
    <row r="13" spans="1:12">
      <c r="A13" s="62" t="s">
        <v>513</v>
      </c>
      <c r="B13" s="161">
        <v>0.32300000000000001</v>
      </c>
      <c r="C13" s="62">
        <f t="shared" si="0"/>
        <v>500</v>
      </c>
      <c r="D13" s="159"/>
      <c r="F13" s="115"/>
      <c r="G13" s="127"/>
      <c r="H13" s="127"/>
      <c r="I13" s="120"/>
      <c r="J13" s="115"/>
    </row>
    <row r="14" spans="1:12">
      <c r="A14" s="62" t="s">
        <v>514</v>
      </c>
      <c r="B14" s="161">
        <v>12.3</v>
      </c>
      <c r="C14" s="62">
        <f t="shared" si="0"/>
        <v>1500</v>
      </c>
      <c r="F14" s="115"/>
      <c r="G14"/>
      <c r="H14"/>
      <c r="I14"/>
      <c r="J14"/>
    </row>
    <row r="15" spans="1:12">
      <c r="A15" s="62" t="s">
        <v>515</v>
      </c>
      <c r="B15" s="161">
        <v>1.296</v>
      </c>
      <c r="C15" s="62">
        <f t="shared" si="0"/>
        <v>900</v>
      </c>
      <c r="F15" s="115"/>
      <c r="G15"/>
      <c r="H15"/>
      <c r="I15"/>
      <c r="J15"/>
    </row>
    <row r="16" spans="1:12" ht="21">
      <c r="A16" s="62" t="s">
        <v>516</v>
      </c>
      <c r="B16" s="161">
        <v>0.1</v>
      </c>
      <c r="C16" s="62">
        <f t="shared" si="0"/>
        <v>500</v>
      </c>
      <c r="F16" s="115"/>
      <c r="G16" s="27"/>
      <c r="H16"/>
      <c r="I16"/>
      <c r="J16"/>
    </row>
    <row r="17" spans="1:10" ht="21">
      <c r="A17" s="62" t="s">
        <v>517</v>
      </c>
      <c r="B17" s="161">
        <v>0.39400000000000002</v>
      </c>
      <c r="C17" s="62">
        <f t="shared" si="0"/>
        <v>500</v>
      </c>
      <c r="F17" s="115"/>
      <c r="G17"/>
      <c r="H17" s="63"/>
      <c r="I17" s="63"/>
      <c r="J17" s="63"/>
    </row>
    <row r="18" spans="1:10">
      <c r="A18" s="62" t="s">
        <v>518</v>
      </c>
      <c r="B18" s="161">
        <v>0.60699999999999998</v>
      </c>
      <c r="C18" s="62">
        <f t="shared" si="0"/>
        <v>700</v>
      </c>
      <c r="F18" s="115"/>
      <c r="G18" s="127"/>
      <c r="H18" s="127"/>
      <c r="I18" s="120"/>
      <c r="J18" s="115"/>
    </row>
    <row r="19" spans="1:10">
      <c r="F19" s="115"/>
      <c r="G19" s="127"/>
      <c r="H19" s="127"/>
      <c r="I19" s="120"/>
      <c r="J19" s="115"/>
    </row>
    <row r="20" spans="1:10">
      <c r="F20" s="115"/>
      <c r="G20" s="115"/>
      <c r="H20" s="115"/>
      <c r="I20" s="117"/>
      <c r="J20" s="115"/>
    </row>
    <row r="21" spans="1:10">
      <c r="F21"/>
      <c r="G21"/>
      <c r="H21"/>
      <c r="I21"/>
      <c r="J21" s="115"/>
    </row>
    <row r="22" spans="1:10">
      <c r="F22" s="115"/>
      <c r="G22" s="127"/>
      <c r="H22" s="127"/>
      <c r="I22" s="120"/>
    </row>
    <row r="23" spans="1:10">
      <c r="F23" s="115"/>
      <c r="G23"/>
      <c r="H23"/>
      <c r="I23"/>
    </row>
    <row r="24" spans="1:10">
      <c r="F24" s="115"/>
      <c r="G24"/>
      <c r="H24"/>
      <c r="I24"/>
    </row>
    <row r="25" spans="1:10" ht="21">
      <c r="F25" s="115"/>
      <c r="G25" s="27"/>
      <c r="H25"/>
      <c r="I25"/>
    </row>
    <row r="26" spans="1:10" ht="21">
      <c r="F26" s="115"/>
      <c r="G26"/>
      <c r="H26" s="63"/>
      <c r="I26" s="63"/>
    </row>
    <row r="27" spans="1:10">
      <c r="F27" s="115"/>
      <c r="G27" s="127"/>
      <c r="H27" s="127"/>
      <c r="I27" s="120"/>
    </row>
    <row r="28" spans="1:10">
      <c r="F28" s="115"/>
      <c r="G28" s="127"/>
      <c r="H28" s="127"/>
      <c r="I28" s="120"/>
    </row>
    <row r="29" spans="1:10">
      <c r="F29" s="115"/>
      <c r="G29" s="115"/>
      <c r="H29" s="115"/>
      <c r="I29" s="117"/>
    </row>
  </sheetData>
  <sortState ref="E4:G8">
    <sortCondition ref="F8"/>
  </sortState>
  <conditionalFormatting sqref="L8">
    <cfRule type="cellIs" dxfId="73" priority="1" operator="equal">
      <formula>"нет"</formula>
    </cfRule>
    <cfRule type="cellIs" dxfId="72" priority="2" operator="equal">
      <formula>"да"</formula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9"/>
  </sheetPr>
  <dimension ref="A1:M69"/>
  <sheetViews>
    <sheetView showGridLines="0" workbookViewId="0">
      <selection activeCell="H3" sqref="H3"/>
    </sheetView>
  </sheetViews>
  <sheetFormatPr baseColWidth="10" defaultColWidth="9.1640625" defaultRowHeight="16"/>
  <cols>
    <col min="1" max="1" width="3.5" style="135" bestFit="1" customWidth="1"/>
    <col min="2" max="2" width="25.5" style="135" bestFit="1" customWidth="1"/>
    <col min="3" max="3" width="9.6640625" style="135" bestFit="1" customWidth="1"/>
    <col min="4" max="4" width="16.83203125" style="135" customWidth="1"/>
    <col min="5" max="6" width="9.1640625" style="135"/>
    <col min="7" max="7" width="19" style="135" customWidth="1"/>
    <col min="8" max="12" width="9.1640625" style="135"/>
    <col min="13" max="13" width="17.5" style="135" customWidth="1"/>
    <col min="14" max="16384" width="9.1640625" style="135"/>
  </cols>
  <sheetData>
    <row r="1" spans="1:13" ht="19">
      <c r="A1" s="116" t="s">
        <v>519</v>
      </c>
    </row>
    <row r="2" spans="1:13" ht="12.75" customHeight="1">
      <c r="A2" s="116"/>
    </row>
    <row r="3" spans="1:13" ht="32">
      <c r="A3" s="119" t="s">
        <v>80</v>
      </c>
      <c r="B3" s="119" t="s">
        <v>520</v>
      </c>
      <c r="C3" s="119" t="s">
        <v>521</v>
      </c>
      <c r="D3" s="119" t="s">
        <v>522</v>
      </c>
      <c r="F3" s="245" t="s">
        <v>899</v>
      </c>
      <c r="G3" s="244"/>
      <c r="H3" s="243">
        <f>COUNTA(D4:D69)-COUNT(D4:D69)</f>
        <v>5</v>
      </c>
      <c r="I3" s="228">
        <v>5</v>
      </c>
      <c r="J3" s="51" t="s">
        <v>59</v>
      </c>
      <c r="K3" s="52"/>
      <c r="L3" s="53" t="s">
        <v>60</v>
      </c>
      <c r="M3" s="52">
        <v>2</v>
      </c>
    </row>
    <row r="4" spans="1:13">
      <c r="A4" s="164">
        <v>1</v>
      </c>
      <c r="B4" s="62" t="s">
        <v>523</v>
      </c>
      <c r="C4" s="62">
        <v>115</v>
      </c>
      <c r="D4" s="62">
        <f>C4-VLOOKUP(B4,ВПР_Пазлы2016!$B$4:$C$68,2,0)</f>
        <v>0</v>
      </c>
      <c r="J4" s="54"/>
      <c r="K4" s="54"/>
      <c r="L4" s="59"/>
      <c r="M4" s="60" t="s">
        <v>893</v>
      </c>
    </row>
    <row r="5" spans="1:13">
      <c r="A5" s="164">
        <v>2</v>
      </c>
      <c r="B5" s="62" t="s">
        <v>524</v>
      </c>
      <c r="C5" s="62">
        <v>100</v>
      </c>
      <c r="D5" s="62">
        <f>C5-VLOOKUP(B5,ВПР_Пазлы2016!$B$4:$C$68,2,0)</f>
        <v>0</v>
      </c>
      <c r="J5" s="55" t="s">
        <v>1077</v>
      </c>
      <c r="K5" s="56"/>
      <c r="L5" s="56"/>
      <c r="M5" s="57" t="str">
        <f>IF(SUM(COUNTIF(H3,I3))=COUNT(I3),"ДА","НЕТ")</f>
        <v>ДА</v>
      </c>
    </row>
    <row r="6" spans="1:13">
      <c r="A6" s="164">
        <v>3</v>
      </c>
      <c r="B6" s="62" t="s">
        <v>525</v>
      </c>
      <c r="C6" s="62">
        <v>180</v>
      </c>
      <c r="D6" s="62" t="e">
        <f>C6-VLOOKUP(B6,ВПР_Пазлы2016!$B$4:$C$68,2,0)</f>
        <v>#N/A</v>
      </c>
    </row>
    <row r="7" spans="1:13">
      <c r="A7" s="164">
        <v>4</v>
      </c>
      <c r="B7" s="62" t="s">
        <v>526</v>
      </c>
      <c r="C7" s="62">
        <v>150</v>
      </c>
      <c r="D7" s="62">
        <f>C7-VLOOKUP(B7,ВПР_Пазлы2016!$B$4:$C$68,2,0)</f>
        <v>15</v>
      </c>
    </row>
    <row r="8" spans="1:13">
      <c r="A8" s="164">
        <v>5</v>
      </c>
      <c r="B8" s="62" t="s">
        <v>527</v>
      </c>
      <c r="C8" s="62">
        <v>200</v>
      </c>
      <c r="D8" s="62">
        <f>C8-VLOOKUP(B8,ВПР_Пазлы2016!$B$4:$C$68,2,0)</f>
        <v>60</v>
      </c>
    </row>
    <row r="9" spans="1:13">
      <c r="A9" s="164">
        <v>6</v>
      </c>
      <c r="B9" s="62" t="s">
        <v>528</v>
      </c>
      <c r="C9" s="62">
        <v>135</v>
      </c>
      <c r="D9" s="62">
        <f>C9-VLOOKUP(B9,ВПР_Пазлы2016!$B$4:$C$68,2,0)</f>
        <v>-15</v>
      </c>
    </row>
    <row r="10" spans="1:13">
      <c r="A10" s="164">
        <v>7</v>
      </c>
      <c r="B10" s="62" t="s">
        <v>529</v>
      </c>
      <c r="C10" s="62">
        <v>145</v>
      </c>
      <c r="D10" s="62">
        <f>C10-VLOOKUP(B10,ВПР_Пазлы2016!$B$4:$C$68,2,0)</f>
        <v>-55</v>
      </c>
    </row>
    <row r="11" spans="1:13">
      <c r="A11" s="164">
        <v>8</v>
      </c>
      <c r="B11" s="62" t="s">
        <v>530</v>
      </c>
      <c r="C11" s="62">
        <v>180</v>
      </c>
      <c r="D11" s="62">
        <f>C11-VLOOKUP(B11,ВПР_Пазлы2016!$B$4:$C$68,2,0)</f>
        <v>45</v>
      </c>
    </row>
    <row r="12" spans="1:13">
      <c r="A12" s="164">
        <v>9</v>
      </c>
      <c r="B12" s="62" t="s">
        <v>531</v>
      </c>
      <c r="C12" s="62">
        <v>160</v>
      </c>
      <c r="D12" s="62">
        <f>C12-VLOOKUP(B12,ВПР_Пазлы2016!$B$4:$C$68,2,0)</f>
        <v>15</v>
      </c>
    </row>
    <row r="13" spans="1:13">
      <c r="A13" s="164">
        <v>11</v>
      </c>
      <c r="B13" s="62" t="s">
        <v>532</v>
      </c>
      <c r="C13" s="62">
        <v>130</v>
      </c>
      <c r="D13" s="62">
        <f>C13-VLOOKUP(B13,ВПР_Пазлы2016!$B$4:$C$68,2,0)</f>
        <v>-70</v>
      </c>
    </row>
    <row r="14" spans="1:13">
      <c r="A14" s="164">
        <v>12</v>
      </c>
      <c r="B14" s="62" t="s">
        <v>533</v>
      </c>
      <c r="C14" s="62">
        <v>145</v>
      </c>
      <c r="D14" s="62">
        <f>C14-VLOOKUP(B14,ВПР_Пазлы2016!$B$4:$C$68,2,0)</f>
        <v>15</v>
      </c>
    </row>
    <row r="15" spans="1:13">
      <c r="A15" s="164">
        <v>13</v>
      </c>
      <c r="B15" s="62" t="s">
        <v>534</v>
      </c>
      <c r="C15" s="62">
        <v>140</v>
      </c>
      <c r="D15" s="62">
        <f>C15-VLOOKUP(B15,ВПР_Пазлы2016!$B$4:$C$68,2,0)</f>
        <v>40</v>
      </c>
    </row>
    <row r="16" spans="1:13">
      <c r="A16" s="164">
        <v>14</v>
      </c>
      <c r="B16" s="62" t="s">
        <v>535</v>
      </c>
      <c r="C16" s="62">
        <v>170</v>
      </c>
      <c r="D16" s="62">
        <f>C16-VLOOKUP(B16,ВПР_Пазлы2016!$B$4:$C$68,2,0)</f>
        <v>30</v>
      </c>
    </row>
    <row r="17" spans="1:6">
      <c r="A17" s="164">
        <v>15</v>
      </c>
      <c r="B17" s="62" t="s">
        <v>536</v>
      </c>
      <c r="C17" s="62">
        <v>80</v>
      </c>
      <c r="D17" s="62">
        <f>C17-VLOOKUP(B17,ВПР_Пазлы2016!$B$4:$C$68,2,0)</f>
        <v>-90</v>
      </c>
      <c r="F17" s="386" t="s">
        <v>1156</v>
      </c>
    </row>
    <row r="18" spans="1:6">
      <c r="A18" s="164">
        <v>16</v>
      </c>
      <c r="B18" s="62" t="s">
        <v>537</v>
      </c>
      <c r="C18" s="62">
        <v>130</v>
      </c>
      <c r="D18" s="62">
        <f>C18-VLOOKUP(B18,ВПР_Пазлы2016!$B$4:$C$68,2,0)</f>
        <v>50</v>
      </c>
      <c r="F18" s="386" t="s">
        <v>1157</v>
      </c>
    </row>
    <row r="19" spans="1:6">
      <c r="A19" s="164">
        <v>17</v>
      </c>
      <c r="B19" s="62" t="s">
        <v>538</v>
      </c>
      <c r="C19" s="62">
        <v>170</v>
      </c>
      <c r="D19" s="62">
        <f>C19-VLOOKUP(B19,ВПР_Пазлы2016!$B$4:$C$68,2,0)</f>
        <v>0</v>
      </c>
    </row>
    <row r="20" spans="1:6">
      <c r="A20" s="164">
        <v>18</v>
      </c>
      <c r="B20" s="62" t="s">
        <v>539</v>
      </c>
      <c r="C20" s="62">
        <v>160</v>
      </c>
      <c r="D20" s="62">
        <f>C20-VLOOKUP(B20,ВПР_Пазлы2016!$B$4:$C$68,2,0)</f>
        <v>0</v>
      </c>
    </row>
    <row r="21" spans="1:6">
      <c r="A21" s="164">
        <v>19</v>
      </c>
      <c r="B21" s="62" t="s">
        <v>540</v>
      </c>
      <c r="C21" s="62">
        <v>150</v>
      </c>
      <c r="D21" s="62">
        <f>C21-VLOOKUP(B21,ВПР_Пазлы2016!$B$4:$C$68,2,0)</f>
        <v>5</v>
      </c>
    </row>
    <row r="22" spans="1:6">
      <c r="A22" s="164">
        <v>20</v>
      </c>
      <c r="B22" s="62" t="s">
        <v>541</v>
      </c>
      <c r="C22" s="62">
        <v>160</v>
      </c>
      <c r="D22" s="62">
        <f>C22-VLOOKUP(B22,ВПР_Пазлы2016!$B$4:$C$68,2,0)</f>
        <v>0</v>
      </c>
    </row>
    <row r="23" spans="1:6">
      <c r="A23" s="164">
        <v>21</v>
      </c>
      <c r="B23" s="62" t="s">
        <v>542</v>
      </c>
      <c r="C23" s="62">
        <v>140</v>
      </c>
      <c r="D23" s="62">
        <f>C23-VLOOKUP(B23,ВПР_Пазлы2016!$B$4:$C$68,2,0)</f>
        <v>0</v>
      </c>
    </row>
    <row r="24" spans="1:6">
      <c r="A24" s="164">
        <v>22</v>
      </c>
      <c r="B24" s="62" t="s">
        <v>543</v>
      </c>
      <c r="C24" s="62">
        <v>135</v>
      </c>
      <c r="D24" s="62">
        <f>C24-VLOOKUP(B24,ВПР_Пазлы2016!$B$4:$C$68,2,0)</f>
        <v>0</v>
      </c>
    </row>
    <row r="25" spans="1:6">
      <c r="A25" s="164">
        <v>23</v>
      </c>
      <c r="B25" s="62" t="s">
        <v>544</v>
      </c>
      <c r="C25" s="62">
        <v>150</v>
      </c>
      <c r="D25" s="62">
        <f>C25-VLOOKUP(B25,ВПР_Пазлы2016!$B$4:$C$68,2,0)</f>
        <v>5</v>
      </c>
    </row>
    <row r="26" spans="1:6">
      <c r="A26" s="164">
        <v>24</v>
      </c>
      <c r="B26" s="62" t="s">
        <v>545</v>
      </c>
      <c r="C26" s="62">
        <v>180</v>
      </c>
      <c r="D26" s="62" t="e">
        <f>C26-VLOOKUP(B26,ВПР_Пазлы2016!$B$4:$C$68,2,0)</f>
        <v>#N/A</v>
      </c>
    </row>
    <row r="27" spans="1:6">
      <c r="A27" s="164">
        <v>25</v>
      </c>
      <c r="B27" s="62" t="s">
        <v>546</v>
      </c>
      <c r="C27" s="62">
        <v>165</v>
      </c>
      <c r="D27" s="62">
        <f>C27-VLOOKUP(B27,ВПР_Пазлы2016!$B$4:$C$68,2,0)</f>
        <v>-35</v>
      </c>
    </row>
    <row r="28" spans="1:6">
      <c r="A28" s="164">
        <v>26</v>
      </c>
      <c r="B28" s="62" t="s">
        <v>547</v>
      </c>
      <c r="C28" s="62">
        <v>200</v>
      </c>
      <c r="D28" s="62">
        <f>C28-VLOOKUP(B28,ВПР_Пазлы2016!$B$4:$C$68,2,0)</f>
        <v>-50</v>
      </c>
    </row>
    <row r="29" spans="1:6">
      <c r="A29" s="164">
        <v>27</v>
      </c>
      <c r="B29" s="62" t="s">
        <v>548</v>
      </c>
      <c r="C29" s="62">
        <v>220</v>
      </c>
      <c r="D29" s="62">
        <f>C29-VLOOKUP(B29,ВПР_Пазлы2016!$B$4:$C$68,2,0)</f>
        <v>0</v>
      </c>
    </row>
    <row r="30" spans="1:6">
      <c r="A30" s="164">
        <v>28</v>
      </c>
      <c r="B30" s="62" t="s">
        <v>549</v>
      </c>
      <c r="C30" s="62">
        <v>200</v>
      </c>
      <c r="D30" s="62">
        <f>C30-VLOOKUP(B30,ВПР_Пазлы2016!$B$4:$C$68,2,0)</f>
        <v>0</v>
      </c>
    </row>
    <row r="31" spans="1:6">
      <c r="A31" s="164">
        <v>29</v>
      </c>
      <c r="B31" s="62" t="s">
        <v>550</v>
      </c>
      <c r="C31" s="62">
        <v>160</v>
      </c>
      <c r="D31" s="62">
        <f>C31-VLOOKUP(B31,ВПР_Пазлы2016!$B$4:$C$68,2,0)</f>
        <v>0</v>
      </c>
    </row>
    <row r="32" spans="1:6">
      <c r="A32" s="164">
        <v>30</v>
      </c>
      <c r="B32" s="62" t="s">
        <v>551</v>
      </c>
      <c r="C32" s="62">
        <v>160</v>
      </c>
      <c r="D32" s="62" t="e">
        <f>C32-VLOOKUP(B32,ВПР_Пазлы2016!$B$4:$C$68,2,0)</f>
        <v>#N/A</v>
      </c>
    </row>
    <row r="33" spans="1:4">
      <c r="A33" s="164">
        <v>31</v>
      </c>
      <c r="B33" s="62" t="s">
        <v>552</v>
      </c>
      <c r="C33" s="62">
        <v>175</v>
      </c>
      <c r="D33" s="62">
        <f>C33-VLOOKUP(B33,ВПР_Пазлы2016!$B$4:$C$68,2,0)</f>
        <v>0</v>
      </c>
    </row>
    <row r="34" spans="1:4">
      <c r="A34" s="164">
        <v>32</v>
      </c>
      <c r="B34" s="62" t="s">
        <v>553</v>
      </c>
      <c r="C34" s="62">
        <v>180</v>
      </c>
      <c r="D34" s="62">
        <f>C34-VLOOKUP(B34,ВПР_Пазлы2016!$B$4:$C$68,2,0)</f>
        <v>0</v>
      </c>
    </row>
    <row r="35" spans="1:4">
      <c r="A35" s="164">
        <v>34</v>
      </c>
      <c r="B35" s="62" t="s">
        <v>554</v>
      </c>
      <c r="C35" s="62">
        <v>150</v>
      </c>
      <c r="D35" s="62">
        <f>C35-VLOOKUP(B35,ВПР_Пазлы2016!$B$4:$C$68,2,0)</f>
        <v>30</v>
      </c>
    </row>
    <row r="36" spans="1:4">
      <c r="A36" s="164">
        <v>35</v>
      </c>
      <c r="B36" s="62" t="s">
        <v>555</v>
      </c>
      <c r="C36" s="62">
        <v>180</v>
      </c>
      <c r="D36" s="62">
        <f>C36-VLOOKUP(B36,ВПР_Пазлы2016!$B$4:$C$68,2,0)</f>
        <v>-70</v>
      </c>
    </row>
    <row r="37" spans="1:4">
      <c r="A37" s="164">
        <v>36</v>
      </c>
      <c r="B37" s="62" t="s">
        <v>556</v>
      </c>
      <c r="C37" s="62">
        <v>250</v>
      </c>
      <c r="D37" s="62">
        <f>C37-VLOOKUP(B37,ВПР_Пазлы2016!$B$4:$C$68,2,0)</f>
        <v>105</v>
      </c>
    </row>
    <row r="38" spans="1:4">
      <c r="A38" s="164">
        <v>37</v>
      </c>
      <c r="B38" s="62" t="s">
        <v>557</v>
      </c>
      <c r="C38" s="62">
        <v>190</v>
      </c>
      <c r="D38" s="62">
        <f>C38-VLOOKUP(B38,ВПР_Пазлы2016!$B$4:$C$68,2,0)</f>
        <v>90</v>
      </c>
    </row>
    <row r="39" spans="1:4">
      <c r="A39" s="164">
        <v>38</v>
      </c>
      <c r="B39" s="62" t="s">
        <v>558</v>
      </c>
      <c r="C39" s="62">
        <v>145</v>
      </c>
      <c r="D39" s="62">
        <f>C39-VLOOKUP(B39,ВПР_Пазлы2016!$B$4:$C$68,2,0)</f>
        <v>45</v>
      </c>
    </row>
    <row r="40" spans="1:4">
      <c r="A40" s="164">
        <v>39</v>
      </c>
      <c r="B40" s="62" t="s">
        <v>559</v>
      </c>
      <c r="C40" s="62">
        <v>155</v>
      </c>
      <c r="D40" s="62">
        <f>C40-VLOOKUP(B40,ВПР_Пазлы2016!$B$4:$C$68,2,0)</f>
        <v>30</v>
      </c>
    </row>
    <row r="41" spans="1:4">
      <c r="A41" s="164">
        <v>40</v>
      </c>
      <c r="B41" s="62" t="s">
        <v>560</v>
      </c>
      <c r="C41" s="62">
        <v>300</v>
      </c>
      <c r="D41" s="62">
        <f>C41-VLOOKUP(B41,ВПР_Пазлы2016!$B$4:$C$68,2,0)</f>
        <v>120</v>
      </c>
    </row>
    <row r="42" spans="1:4">
      <c r="A42" s="164">
        <v>41</v>
      </c>
      <c r="B42" s="62" t="s">
        <v>561</v>
      </c>
      <c r="C42" s="62">
        <v>100</v>
      </c>
      <c r="D42" s="62">
        <f>C42-VLOOKUP(B42,ВПР_Пазлы2016!$B$4:$C$68,2,0)</f>
        <v>-50</v>
      </c>
    </row>
    <row r="43" spans="1:4">
      <c r="A43" s="164">
        <v>42</v>
      </c>
      <c r="B43" s="62" t="s">
        <v>562</v>
      </c>
      <c r="C43" s="62">
        <v>100</v>
      </c>
      <c r="D43" s="62">
        <f>C43-VLOOKUP(B43,ВПР_Пазлы2016!$B$4:$C$68,2,0)</f>
        <v>-85</v>
      </c>
    </row>
    <row r="44" spans="1:4">
      <c r="A44" s="164">
        <v>43</v>
      </c>
      <c r="B44" s="62" t="s">
        <v>563</v>
      </c>
      <c r="C44" s="62">
        <v>165</v>
      </c>
      <c r="D44" s="62">
        <f>C44-VLOOKUP(B44,ВПР_Пазлы2016!$B$4:$C$68,2,0)</f>
        <v>40</v>
      </c>
    </row>
    <row r="45" spans="1:4">
      <c r="A45" s="164">
        <v>44</v>
      </c>
      <c r="B45" s="62" t="s">
        <v>564</v>
      </c>
      <c r="C45" s="62">
        <v>125</v>
      </c>
      <c r="D45" s="62" t="e">
        <f>C45-VLOOKUP(B45,ВПР_Пазлы2016!$B$4:$C$68,2,0)</f>
        <v>#N/A</v>
      </c>
    </row>
    <row r="46" spans="1:4">
      <c r="A46" s="164">
        <v>45</v>
      </c>
      <c r="B46" s="62" t="s">
        <v>565</v>
      </c>
      <c r="C46" s="62">
        <v>140</v>
      </c>
      <c r="D46" s="62">
        <f>C46-VLOOKUP(B46,ВПР_Пазлы2016!$B$4:$C$68,2,0)</f>
        <v>-5</v>
      </c>
    </row>
    <row r="47" spans="1:4">
      <c r="A47" s="164">
        <v>46</v>
      </c>
      <c r="B47" s="62" t="s">
        <v>566</v>
      </c>
      <c r="C47" s="62">
        <v>150</v>
      </c>
      <c r="D47" s="62">
        <f>C47-VLOOKUP(B47,ВПР_Пазлы2016!$B$4:$C$68,2,0)</f>
        <v>15</v>
      </c>
    </row>
    <row r="48" spans="1:4">
      <c r="A48" s="164">
        <v>47</v>
      </c>
      <c r="B48" s="62" t="s">
        <v>567</v>
      </c>
      <c r="C48" s="62">
        <v>185</v>
      </c>
      <c r="D48" s="62">
        <f>C48-VLOOKUP(B48,ВПР_Пазлы2016!$B$4:$C$68,2,0)</f>
        <v>60</v>
      </c>
    </row>
    <row r="49" spans="1:4">
      <c r="A49" s="164">
        <v>48</v>
      </c>
      <c r="B49" s="62" t="s">
        <v>568</v>
      </c>
      <c r="C49" s="62">
        <v>125</v>
      </c>
      <c r="D49" s="62">
        <f>C49-VLOOKUP(B49,ВПР_Пазлы2016!$B$4:$C$68,2,0)</f>
        <v>-5</v>
      </c>
    </row>
    <row r="50" spans="1:4">
      <c r="A50" s="164">
        <v>49</v>
      </c>
      <c r="B50" s="62" t="s">
        <v>569</v>
      </c>
      <c r="C50" s="62">
        <v>155</v>
      </c>
      <c r="D50" s="62">
        <f>C50-VLOOKUP(B50,ВПР_Пазлы2016!$B$4:$C$68,2,0)</f>
        <v>15</v>
      </c>
    </row>
    <row r="51" spans="1:4">
      <c r="A51" s="164">
        <v>50</v>
      </c>
      <c r="B51" s="62" t="s">
        <v>570</v>
      </c>
      <c r="C51" s="62">
        <v>145</v>
      </c>
      <c r="D51" s="62">
        <f>C51-VLOOKUP(B51,ВПР_Пазлы2016!$B$4:$C$68,2,0)</f>
        <v>-10</v>
      </c>
    </row>
    <row r="52" spans="1:4">
      <c r="A52" s="164">
        <v>51</v>
      </c>
      <c r="B52" s="62" t="s">
        <v>571</v>
      </c>
      <c r="C52" s="62">
        <v>135</v>
      </c>
      <c r="D52" s="62">
        <f>C52-VLOOKUP(B52,ВПР_Пазлы2016!$B$4:$C$68,2,0)</f>
        <v>10</v>
      </c>
    </row>
    <row r="53" spans="1:4">
      <c r="A53" s="164">
        <v>53</v>
      </c>
      <c r="B53" s="62" t="s">
        <v>572</v>
      </c>
      <c r="C53" s="62">
        <v>125</v>
      </c>
      <c r="D53" s="62">
        <f>C53-VLOOKUP(B53,ВПР_Пазлы2016!$B$4:$C$68,2,0)</f>
        <v>-20</v>
      </c>
    </row>
    <row r="54" spans="1:4">
      <c r="A54" s="164">
        <v>54</v>
      </c>
      <c r="B54" s="62" t="s">
        <v>573</v>
      </c>
      <c r="C54" s="62">
        <v>130</v>
      </c>
      <c r="D54" s="62">
        <f>C54-VLOOKUP(B54,ВПР_Пазлы2016!$B$4:$C$68,2,0)</f>
        <v>-50</v>
      </c>
    </row>
    <row r="55" spans="1:4">
      <c r="A55" s="164">
        <v>55</v>
      </c>
      <c r="B55" s="62" t="s">
        <v>574</v>
      </c>
      <c r="C55" s="62">
        <v>140</v>
      </c>
      <c r="D55" s="62">
        <f>C55-VLOOKUP(B55,ВПР_Пазлы2016!$B$4:$C$68,2,0)</f>
        <v>-40</v>
      </c>
    </row>
    <row r="56" spans="1:4">
      <c r="A56" s="164">
        <v>56</v>
      </c>
      <c r="B56" s="62" t="s">
        <v>575</v>
      </c>
      <c r="C56" s="62">
        <v>155</v>
      </c>
      <c r="D56" s="62">
        <f>C56-VLOOKUP(B56,ВПР_Пазлы2016!$B$4:$C$68,2,0)</f>
        <v>15</v>
      </c>
    </row>
    <row r="57" spans="1:4">
      <c r="A57" s="164">
        <v>57</v>
      </c>
      <c r="B57" s="62" t="s">
        <v>576</v>
      </c>
      <c r="C57" s="62">
        <v>125</v>
      </c>
      <c r="D57" s="62">
        <f>C57-VLOOKUP(B57,ВПР_Пазлы2016!$B$4:$C$68,2,0)</f>
        <v>-75</v>
      </c>
    </row>
    <row r="58" spans="1:4">
      <c r="A58" s="164">
        <v>58</v>
      </c>
      <c r="B58" s="62" t="s">
        <v>577</v>
      </c>
      <c r="C58" s="62">
        <v>180</v>
      </c>
      <c r="D58" s="62">
        <f>C58-VLOOKUP(B58,ВПР_Пазлы2016!$B$4:$C$68,2,0)</f>
        <v>-10</v>
      </c>
    </row>
    <row r="59" spans="1:4">
      <c r="A59" s="164">
        <v>59</v>
      </c>
      <c r="B59" s="62" t="s">
        <v>578</v>
      </c>
      <c r="C59" s="62">
        <v>145</v>
      </c>
      <c r="D59" s="62">
        <f>C59-VLOOKUP(B59,ВПР_Пазлы2016!$B$4:$C$68,2,0)</f>
        <v>-5</v>
      </c>
    </row>
    <row r="60" spans="1:4">
      <c r="A60" s="164">
        <v>60</v>
      </c>
      <c r="B60" s="62" t="s">
        <v>579</v>
      </c>
      <c r="C60" s="62">
        <v>180</v>
      </c>
      <c r="D60" s="62">
        <f>C60-VLOOKUP(B60,ВПР_Пазлы2016!$B$4:$C$68,2,0)</f>
        <v>20</v>
      </c>
    </row>
    <row r="61" spans="1:4">
      <c r="A61" s="164">
        <v>61</v>
      </c>
      <c r="B61" s="62" t="s">
        <v>580</v>
      </c>
      <c r="C61" s="62">
        <v>200</v>
      </c>
      <c r="D61" s="62">
        <f>C61-VLOOKUP(B61,ВПР_Пазлы2016!$B$4:$C$68,2,0)</f>
        <v>0</v>
      </c>
    </row>
    <row r="62" spans="1:4">
      <c r="A62" s="164">
        <v>62</v>
      </c>
      <c r="B62" s="62" t="s">
        <v>581</v>
      </c>
      <c r="C62" s="62">
        <v>140</v>
      </c>
      <c r="D62" s="62">
        <f>C62-VLOOKUP(B62,ВПР_Пазлы2016!$B$4:$C$68,2,0)</f>
        <v>0</v>
      </c>
    </row>
    <row r="63" spans="1:4">
      <c r="A63" s="164">
        <v>63</v>
      </c>
      <c r="B63" s="62" t="s">
        <v>582</v>
      </c>
      <c r="C63" s="62">
        <v>150</v>
      </c>
      <c r="D63" s="62">
        <f>C63-VLOOKUP(B63,ВПР_Пазлы2016!$B$4:$C$68,2,0)</f>
        <v>0</v>
      </c>
    </row>
    <row r="64" spans="1:4">
      <c r="A64" s="164">
        <v>64</v>
      </c>
      <c r="B64" s="62" t="s">
        <v>583</v>
      </c>
      <c r="C64" s="62">
        <v>200</v>
      </c>
      <c r="D64" s="62">
        <f>C64-VLOOKUP(B64,ВПР_Пазлы2016!$B$4:$C$68,2,0)</f>
        <v>0</v>
      </c>
    </row>
    <row r="65" spans="1:4">
      <c r="A65" s="164">
        <v>66</v>
      </c>
      <c r="B65" s="62" t="s">
        <v>584</v>
      </c>
      <c r="C65" s="62">
        <v>190</v>
      </c>
      <c r="D65" s="62">
        <f>C65-VLOOKUP(B65,ВПР_Пазлы2016!$B$4:$C$68,2,0)</f>
        <v>0</v>
      </c>
    </row>
    <row r="66" spans="1:4">
      <c r="A66" s="164">
        <v>67</v>
      </c>
      <c r="B66" s="62" t="s">
        <v>585</v>
      </c>
      <c r="C66" s="62">
        <v>190</v>
      </c>
      <c r="D66" s="62">
        <f>C66-VLOOKUP(B66,ВПР_Пазлы2016!$B$4:$C$68,2,0)</f>
        <v>0</v>
      </c>
    </row>
    <row r="67" spans="1:4">
      <c r="A67" s="164">
        <v>68</v>
      </c>
      <c r="B67" s="62" t="s">
        <v>586</v>
      </c>
      <c r="C67" s="62">
        <v>150</v>
      </c>
      <c r="D67" s="62" t="e">
        <f>C67-VLOOKUP(B67,ВПР_Пазлы2016!$B$4:$C$68,2,0)</f>
        <v>#N/A</v>
      </c>
    </row>
    <row r="68" spans="1:4">
      <c r="A68" s="164">
        <v>69</v>
      </c>
      <c r="B68" s="62" t="s">
        <v>587</v>
      </c>
      <c r="C68" s="62">
        <v>160</v>
      </c>
      <c r="D68" s="62">
        <f>C68-VLOOKUP(B68,ВПР_Пазлы2016!$B$4:$C$68,2,0)</f>
        <v>0</v>
      </c>
    </row>
    <row r="69" spans="1:4">
      <c r="A69" s="164">
        <v>70</v>
      </c>
      <c r="B69" s="62" t="s">
        <v>588</v>
      </c>
      <c r="C69" s="62">
        <v>125</v>
      </c>
      <c r="D69" s="62">
        <f>C69-VLOOKUP(B69,ВПР_Пазлы2016!$B$4:$C$68,2,0)</f>
        <v>0</v>
      </c>
    </row>
  </sheetData>
  <conditionalFormatting sqref="M5">
    <cfRule type="cellIs" dxfId="71" priority="1" operator="equal">
      <formula>"нет"</formula>
    </cfRule>
    <cfRule type="cellIs" dxfId="70" priority="2" operator="equal">
      <formula>"да"</formula>
    </cfRule>
  </conditionalFormatting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9"/>
  </sheetPr>
  <dimension ref="A1:C68"/>
  <sheetViews>
    <sheetView showGridLines="0" workbookViewId="0">
      <selection activeCell="F15" sqref="F15"/>
    </sheetView>
  </sheetViews>
  <sheetFormatPr baseColWidth="10" defaultColWidth="9.1640625" defaultRowHeight="16"/>
  <cols>
    <col min="1" max="1" width="3.5" style="135" bestFit="1" customWidth="1"/>
    <col min="2" max="2" width="25.5" style="135" bestFit="1" customWidth="1"/>
    <col min="3" max="3" width="9.6640625" style="135" bestFit="1" customWidth="1"/>
    <col min="4" max="16384" width="9.1640625" style="135"/>
  </cols>
  <sheetData>
    <row r="1" spans="1:3" ht="19">
      <c r="A1" s="116" t="s">
        <v>589</v>
      </c>
    </row>
    <row r="2" spans="1:3" ht="12" customHeight="1">
      <c r="A2" s="116"/>
    </row>
    <row r="3" spans="1:3" ht="32">
      <c r="A3" s="119" t="s">
        <v>80</v>
      </c>
      <c r="B3" s="119" t="s">
        <v>520</v>
      </c>
      <c r="C3" s="119" t="s">
        <v>521</v>
      </c>
    </row>
    <row r="4" spans="1:3">
      <c r="A4" s="164">
        <v>1</v>
      </c>
      <c r="B4" s="62" t="s">
        <v>523</v>
      </c>
      <c r="C4" s="62">
        <v>115</v>
      </c>
    </row>
    <row r="5" spans="1:3">
      <c r="A5" s="164">
        <v>2</v>
      </c>
      <c r="B5" s="62" t="s">
        <v>524</v>
      </c>
      <c r="C5" s="62">
        <v>100</v>
      </c>
    </row>
    <row r="6" spans="1:3">
      <c r="A6" s="164">
        <v>4</v>
      </c>
      <c r="B6" s="62" t="s">
        <v>526</v>
      </c>
      <c r="C6" s="62">
        <v>135</v>
      </c>
    </row>
    <row r="7" spans="1:3">
      <c r="A7" s="164">
        <v>5</v>
      </c>
      <c r="B7" s="62" t="s">
        <v>527</v>
      </c>
      <c r="C7" s="62">
        <v>140</v>
      </c>
    </row>
    <row r="8" spans="1:3">
      <c r="A8" s="164">
        <v>6</v>
      </c>
      <c r="B8" s="62" t="s">
        <v>528</v>
      </c>
      <c r="C8" s="62">
        <v>150</v>
      </c>
    </row>
    <row r="9" spans="1:3">
      <c r="A9" s="164">
        <v>7</v>
      </c>
      <c r="B9" s="62" t="s">
        <v>529</v>
      </c>
      <c r="C9" s="62">
        <v>200</v>
      </c>
    </row>
    <row r="10" spans="1:3">
      <c r="A10" s="164">
        <v>8</v>
      </c>
      <c r="B10" s="62" t="s">
        <v>530</v>
      </c>
      <c r="C10" s="62">
        <v>135</v>
      </c>
    </row>
    <row r="11" spans="1:3">
      <c r="A11" s="164">
        <v>9</v>
      </c>
      <c r="B11" s="62" t="s">
        <v>531</v>
      </c>
      <c r="C11" s="62">
        <v>145</v>
      </c>
    </row>
    <row r="12" spans="1:3">
      <c r="A12" s="164">
        <v>10</v>
      </c>
      <c r="B12" s="62" t="s">
        <v>590</v>
      </c>
      <c r="C12" s="62">
        <v>180</v>
      </c>
    </row>
    <row r="13" spans="1:3">
      <c r="A13" s="164">
        <v>11</v>
      </c>
      <c r="B13" s="62" t="s">
        <v>532</v>
      </c>
      <c r="C13" s="62">
        <v>200</v>
      </c>
    </row>
    <row r="14" spans="1:3">
      <c r="A14" s="164">
        <v>12</v>
      </c>
      <c r="B14" s="62" t="s">
        <v>533</v>
      </c>
      <c r="C14" s="62">
        <v>130</v>
      </c>
    </row>
    <row r="15" spans="1:3">
      <c r="A15" s="164">
        <v>13</v>
      </c>
      <c r="B15" s="62" t="s">
        <v>534</v>
      </c>
      <c r="C15" s="62">
        <v>100</v>
      </c>
    </row>
    <row r="16" spans="1:3">
      <c r="A16" s="164">
        <v>14</v>
      </c>
      <c r="B16" s="62" t="s">
        <v>535</v>
      </c>
      <c r="C16" s="62">
        <v>140</v>
      </c>
    </row>
    <row r="17" spans="1:3">
      <c r="A17" s="164">
        <v>15</v>
      </c>
      <c r="B17" s="62" t="s">
        <v>536</v>
      </c>
      <c r="C17" s="62">
        <v>170</v>
      </c>
    </row>
    <row r="18" spans="1:3">
      <c r="A18" s="164">
        <v>16</v>
      </c>
      <c r="B18" s="62" t="s">
        <v>537</v>
      </c>
      <c r="C18" s="62">
        <v>80</v>
      </c>
    </row>
    <row r="19" spans="1:3">
      <c r="A19" s="164">
        <v>17</v>
      </c>
      <c r="B19" s="62" t="s">
        <v>538</v>
      </c>
      <c r="C19" s="62">
        <v>170</v>
      </c>
    </row>
    <row r="20" spans="1:3">
      <c r="A20" s="164">
        <v>18</v>
      </c>
      <c r="B20" s="62" t="s">
        <v>539</v>
      </c>
      <c r="C20" s="62">
        <v>160</v>
      </c>
    </row>
    <row r="21" spans="1:3">
      <c r="A21" s="164">
        <v>19</v>
      </c>
      <c r="B21" s="62" t="s">
        <v>540</v>
      </c>
      <c r="C21" s="62">
        <v>145</v>
      </c>
    </row>
    <row r="22" spans="1:3">
      <c r="A22" s="164">
        <v>20</v>
      </c>
      <c r="B22" s="62" t="s">
        <v>541</v>
      </c>
      <c r="C22" s="62">
        <v>160</v>
      </c>
    </row>
    <row r="23" spans="1:3">
      <c r="A23" s="164">
        <v>21</v>
      </c>
      <c r="B23" s="62" t="s">
        <v>542</v>
      </c>
      <c r="C23" s="62">
        <v>140</v>
      </c>
    </row>
    <row r="24" spans="1:3">
      <c r="A24" s="164">
        <v>22</v>
      </c>
      <c r="B24" s="62" t="s">
        <v>543</v>
      </c>
      <c r="C24" s="62">
        <v>135</v>
      </c>
    </row>
    <row r="25" spans="1:3">
      <c r="A25" s="164">
        <v>23</v>
      </c>
      <c r="B25" s="62" t="s">
        <v>544</v>
      </c>
      <c r="C25" s="62">
        <v>145</v>
      </c>
    </row>
    <row r="26" spans="1:3">
      <c r="A26" s="164">
        <v>25</v>
      </c>
      <c r="B26" s="62" t="s">
        <v>546</v>
      </c>
      <c r="C26" s="62">
        <v>200</v>
      </c>
    </row>
    <row r="27" spans="1:3">
      <c r="A27" s="164">
        <v>26</v>
      </c>
      <c r="B27" s="62" t="s">
        <v>547</v>
      </c>
      <c r="C27" s="62">
        <v>250</v>
      </c>
    </row>
    <row r="28" spans="1:3">
      <c r="A28" s="164">
        <v>27</v>
      </c>
      <c r="B28" s="62" t="s">
        <v>548</v>
      </c>
      <c r="C28" s="62">
        <v>220</v>
      </c>
    </row>
    <row r="29" spans="1:3">
      <c r="A29" s="164">
        <v>28</v>
      </c>
      <c r="B29" s="62" t="s">
        <v>549</v>
      </c>
      <c r="C29" s="62">
        <v>200</v>
      </c>
    </row>
    <row r="30" spans="1:3">
      <c r="A30" s="164">
        <v>29</v>
      </c>
      <c r="B30" s="62" t="s">
        <v>550</v>
      </c>
      <c r="C30" s="62">
        <v>160</v>
      </c>
    </row>
    <row r="31" spans="1:3">
      <c r="A31" s="164">
        <v>31</v>
      </c>
      <c r="B31" s="62" t="s">
        <v>552</v>
      </c>
      <c r="C31" s="62">
        <v>175</v>
      </c>
    </row>
    <row r="32" spans="1:3">
      <c r="A32" s="164">
        <v>32</v>
      </c>
      <c r="B32" s="62" t="s">
        <v>553</v>
      </c>
      <c r="C32" s="62">
        <v>180</v>
      </c>
    </row>
    <row r="33" spans="1:3">
      <c r="A33" s="164">
        <v>33</v>
      </c>
      <c r="B33" s="62" t="s">
        <v>591</v>
      </c>
      <c r="C33" s="62">
        <v>150</v>
      </c>
    </row>
    <row r="34" spans="1:3">
      <c r="A34" s="164">
        <v>34</v>
      </c>
      <c r="B34" s="62" t="s">
        <v>554</v>
      </c>
      <c r="C34" s="62">
        <v>120</v>
      </c>
    </row>
    <row r="35" spans="1:3">
      <c r="A35" s="164">
        <v>35</v>
      </c>
      <c r="B35" s="62" t="s">
        <v>555</v>
      </c>
      <c r="C35" s="62">
        <v>250</v>
      </c>
    </row>
    <row r="36" spans="1:3">
      <c r="A36" s="164">
        <v>36</v>
      </c>
      <c r="B36" s="62" t="s">
        <v>556</v>
      </c>
      <c r="C36" s="62">
        <v>145</v>
      </c>
    </row>
    <row r="37" spans="1:3">
      <c r="A37" s="164">
        <v>37</v>
      </c>
      <c r="B37" s="62" t="s">
        <v>557</v>
      </c>
      <c r="C37" s="62">
        <v>100</v>
      </c>
    </row>
    <row r="38" spans="1:3">
      <c r="A38" s="164">
        <v>38</v>
      </c>
      <c r="B38" s="62" t="s">
        <v>558</v>
      </c>
      <c r="C38" s="62">
        <v>100</v>
      </c>
    </row>
    <row r="39" spans="1:3">
      <c r="A39" s="164">
        <v>39</v>
      </c>
      <c r="B39" s="62" t="s">
        <v>559</v>
      </c>
      <c r="C39" s="62">
        <v>125</v>
      </c>
    </row>
    <row r="40" spans="1:3">
      <c r="A40" s="164">
        <v>40</v>
      </c>
      <c r="B40" s="62" t="s">
        <v>560</v>
      </c>
      <c r="C40" s="62">
        <v>180</v>
      </c>
    </row>
    <row r="41" spans="1:3">
      <c r="A41" s="164">
        <v>41</v>
      </c>
      <c r="B41" s="62" t="s">
        <v>561</v>
      </c>
      <c r="C41" s="62">
        <v>150</v>
      </c>
    </row>
    <row r="42" spans="1:3">
      <c r="A42" s="164">
        <v>42</v>
      </c>
      <c r="B42" s="62" t="s">
        <v>562</v>
      </c>
      <c r="C42" s="62">
        <v>185</v>
      </c>
    </row>
    <row r="43" spans="1:3">
      <c r="A43" s="164">
        <v>43</v>
      </c>
      <c r="B43" s="62" t="s">
        <v>563</v>
      </c>
      <c r="C43" s="62">
        <v>125</v>
      </c>
    </row>
    <row r="44" spans="1:3">
      <c r="A44" s="164">
        <v>45</v>
      </c>
      <c r="B44" s="62" t="s">
        <v>565</v>
      </c>
      <c r="C44" s="62">
        <v>145</v>
      </c>
    </row>
    <row r="45" spans="1:3">
      <c r="A45" s="164">
        <v>46</v>
      </c>
      <c r="B45" s="62" t="s">
        <v>566</v>
      </c>
      <c r="C45" s="62">
        <v>135</v>
      </c>
    </row>
    <row r="46" spans="1:3">
      <c r="A46" s="164">
        <v>47</v>
      </c>
      <c r="B46" s="62" t="s">
        <v>567</v>
      </c>
      <c r="C46" s="62">
        <v>125</v>
      </c>
    </row>
    <row r="47" spans="1:3">
      <c r="A47" s="164">
        <v>48</v>
      </c>
      <c r="B47" s="62" t="s">
        <v>568</v>
      </c>
      <c r="C47" s="62">
        <v>130</v>
      </c>
    </row>
    <row r="48" spans="1:3">
      <c r="A48" s="164">
        <v>49</v>
      </c>
      <c r="B48" s="62" t="s">
        <v>569</v>
      </c>
      <c r="C48" s="62">
        <v>140</v>
      </c>
    </row>
    <row r="49" spans="1:3">
      <c r="A49" s="164">
        <v>50</v>
      </c>
      <c r="B49" s="62" t="s">
        <v>570</v>
      </c>
      <c r="C49" s="62">
        <v>155</v>
      </c>
    </row>
    <row r="50" spans="1:3">
      <c r="A50" s="164">
        <v>51</v>
      </c>
      <c r="B50" s="62" t="s">
        <v>571</v>
      </c>
      <c r="C50" s="62">
        <v>125</v>
      </c>
    </row>
    <row r="51" spans="1:3">
      <c r="A51" s="164">
        <v>52</v>
      </c>
      <c r="B51" s="62" t="s">
        <v>592</v>
      </c>
      <c r="C51" s="62">
        <v>180</v>
      </c>
    </row>
    <row r="52" spans="1:3">
      <c r="A52" s="164">
        <v>53</v>
      </c>
      <c r="B52" s="62" t="s">
        <v>572</v>
      </c>
      <c r="C52" s="62">
        <v>145</v>
      </c>
    </row>
    <row r="53" spans="1:3">
      <c r="A53" s="164">
        <v>54</v>
      </c>
      <c r="B53" s="62" t="s">
        <v>573</v>
      </c>
      <c r="C53" s="62">
        <v>180</v>
      </c>
    </row>
    <row r="54" spans="1:3">
      <c r="A54" s="164">
        <v>55</v>
      </c>
      <c r="B54" s="62" t="s">
        <v>574</v>
      </c>
      <c r="C54" s="62">
        <v>180</v>
      </c>
    </row>
    <row r="55" spans="1:3">
      <c r="A55" s="164">
        <v>56</v>
      </c>
      <c r="B55" s="62" t="s">
        <v>575</v>
      </c>
      <c r="C55" s="62">
        <v>140</v>
      </c>
    </row>
    <row r="56" spans="1:3">
      <c r="A56" s="164">
        <v>57</v>
      </c>
      <c r="B56" s="62" t="s">
        <v>576</v>
      </c>
      <c r="C56" s="62">
        <v>200</v>
      </c>
    </row>
    <row r="57" spans="1:3">
      <c r="A57" s="164">
        <v>58</v>
      </c>
      <c r="B57" s="62" t="s">
        <v>577</v>
      </c>
      <c r="C57" s="62">
        <v>190</v>
      </c>
    </row>
    <row r="58" spans="1:3">
      <c r="A58" s="164">
        <v>59</v>
      </c>
      <c r="B58" s="62" t="s">
        <v>578</v>
      </c>
      <c r="C58" s="62">
        <v>150</v>
      </c>
    </row>
    <row r="59" spans="1:3">
      <c r="A59" s="164">
        <v>60</v>
      </c>
      <c r="B59" s="62" t="s">
        <v>579</v>
      </c>
      <c r="C59" s="62">
        <v>160</v>
      </c>
    </row>
    <row r="60" spans="1:3">
      <c r="A60" s="164">
        <v>61</v>
      </c>
      <c r="B60" s="62" t="s">
        <v>580</v>
      </c>
      <c r="C60" s="62">
        <v>200</v>
      </c>
    </row>
    <row r="61" spans="1:3">
      <c r="A61" s="164">
        <v>62</v>
      </c>
      <c r="B61" s="62" t="s">
        <v>581</v>
      </c>
      <c r="C61" s="62">
        <v>140</v>
      </c>
    </row>
    <row r="62" spans="1:3">
      <c r="A62" s="164">
        <v>63</v>
      </c>
      <c r="B62" s="62" t="s">
        <v>582</v>
      </c>
      <c r="C62" s="62">
        <v>150</v>
      </c>
    </row>
    <row r="63" spans="1:3">
      <c r="A63" s="164">
        <v>64</v>
      </c>
      <c r="B63" s="62" t="s">
        <v>583</v>
      </c>
      <c r="C63" s="62">
        <v>200</v>
      </c>
    </row>
    <row r="64" spans="1:3">
      <c r="A64" s="164">
        <v>65</v>
      </c>
      <c r="B64" s="62" t="s">
        <v>593</v>
      </c>
      <c r="C64" s="62">
        <v>160</v>
      </c>
    </row>
    <row r="65" spans="1:3">
      <c r="A65" s="164">
        <v>66</v>
      </c>
      <c r="B65" s="62" t="s">
        <v>584</v>
      </c>
      <c r="C65" s="62">
        <v>190</v>
      </c>
    </row>
    <row r="66" spans="1:3">
      <c r="A66" s="164">
        <v>67</v>
      </c>
      <c r="B66" s="62" t="s">
        <v>585</v>
      </c>
      <c r="C66" s="62">
        <v>190</v>
      </c>
    </row>
    <row r="67" spans="1:3">
      <c r="A67" s="164">
        <v>69</v>
      </c>
      <c r="B67" s="62" t="s">
        <v>587</v>
      </c>
      <c r="C67" s="62">
        <v>160</v>
      </c>
    </row>
    <row r="68" spans="1:3">
      <c r="A68" s="164">
        <v>70</v>
      </c>
      <c r="B68" s="62" t="s">
        <v>588</v>
      </c>
      <c r="C68" s="62">
        <v>125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C00000"/>
  </sheetPr>
  <dimension ref="A1:N43"/>
  <sheetViews>
    <sheetView showGridLines="0" workbookViewId="0">
      <selection activeCell="E42" sqref="E42"/>
    </sheetView>
  </sheetViews>
  <sheetFormatPr baseColWidth="10" defaultColWidth="9.1640625" defaultRowHeight="16"/>
  <cols>
    <col min="1" max="1" width="10.33203125" style="135" customWidth="1"/>
    <col min="2" max="2" width="36.5" style="135" bestFit="1" customWidth="1"/>
    <col min="3" max="3" width="12.5" style="135" customWidth="1"/>
    <col min="4" max="4" width="12.83203125" style="135" customWidth="1"/>
    <col min="5" max="5" width="9.33203125" style="135" bestFit="1" customWidth="1"/>
    <col min="6" max="6" width="16" style="135" customWidth="1"/>
    <col min="7" max="7" width="7.33203125" style="135" bestFit="1" customWidth="1"/>
    <col min="8" max="8" width="16" style="135" customWidth="1"/>
    <col min="9" max="16384" width="9.1640625" style="135"/>
  </cols>
  <sheetData>
    <row r="1" spans="1:14" ht="24">
      <c r="A1" s="282" t="s">
        <v>1016</v>
      </c>
      <c r="B1" s="116"/>
      <c r="J1" s="51" t="s">
        <v>59</v>
      </c>
      <c r="K1" s="52"/>
      <c r="L1" s="53" t="s">
        <v>60</v>
      </c>
      <c r="M1" s="52">
        <v>2</v>
      </c>
    </row>
    <row r="2" spans="1:14">
      <c r="A2" s="119" t="s">
        <v>80</v>
      </c>
      <c r="B2" s="119" t="s">
        <v>594</v>
      </c>
      <c r="C2" s="119" t="s">
        <v>293</v>
      </c>
      <c r="D2" s="119" t="s">
        <v>595</v>
      </c>
      <c r="E2" s="119" t="s">
        <v>596</v>
      </c>
      <c r="F2" s="136"/>
      <c r="G2" s="119" t="s">
        <v>293</v>
      </c>
      <c r="H2" s="119" t="s">
        <v>597</v>
      </c>
      <c r="I2" s="136"/>
      <c r="J2" s="54"/>
      <c r="K2" s="54"/>
      <c r="L2" s="59"/>
      <c r="M2" s="60" t="s">
        <v>893</v>
      </c>
    </row>
    <row r="3" spans="1:14">
      <c r="A3" s="62">
        <v>1</v>
      </c>
      <c r="B3" s="62" t="s">
        <v>456</v>
      </c>
      <c r="C3" s="62" t="s">
        <v>304</v>
      </c>
      <c r="D3" s="62">
        <v>56000</v>
      </c>
      <c r="E3" s="62">
        <f>IFERROR(D3*VLOOKUP(C3,$G$3:$H$6,2,0),0)</f>
        <v>33600</v>
      </c>
      <c r="F3" s="278">
        <v>33600</v>
      </c>
      <c r="G3" s="62" t="s">
        <v>598</v>
      </c>
      <c r="H3" s="62">
        <v>0.8</v>
      </c>
      <c r="I3" s="136"/>
      <c r="J3" s="55" t="s">
        <v>1018</v>
      </c>
      <c r="K3" s="56"/>
      <c r="L3" s="56"/>
      <c r="M3" s="57" t="str">
        <f t="array" ref="M3">IF(SUM(COUNTIF(E3:E25,F3:F25))=31,"ДА","НЕТ")</f>
        <v>ДА</v>
      </c>
    </row>
    <row r="4" spans="1:14">
      <c r="A4" s="62">
        <v>2</v>
      </c>
      <c r="B4" s="62" t="s">
        <v>460</v>
      </c>
      <c r="C4" s="62" t="s">
        <v>598</v>
      </c>
      <c r="D4" s="62">
        <v>43000</v>
      </c>
      <c r="E4" s="62">
        <f t="shared" ref="E4:E25" si="0">IFERROR(D4*VLOOKUP(C4,$G$3:$H$6,2,0),0)</f>
        <v>34400</v>
      </c>
      <c r="F4" s="278">
        <v>34400</v>
      </c>
      <c r="G4" s="62" t="s">
        <v>304</v>
      </c>
      <c r="H4" s="62">
        <v>0.6</v>
      </c>
      <c r="I4" s="136"/>
      <c r="J4" s="55" t="s">
        <v>1019</v>
      </c>
      <c r="K4" s="56"/>
      <c r="L4" s="56"/>
      <c r="M4" s="57" t="str">
        <f t="array" ref="M4">IF(SUM(COUNTIF(C29:C43,D29:D43))=29,"ДА","НЕТ")</f>
        <v>ДА</v>
      </c>
    </row>
    <row r="5" spans="1:14">
      <c r="A5" s="62">
        <v>3</v>
      </c>
      <c r="B5" s="62" t="s">
        <v>464</v>
      </c>
      <c r="C5" s="62" t="s">
        <v>304</v>
      </c>
      <c r="D5" s="62">
        <v>46000</v>
      </c>
      <c r="E5" s="62">
        <f t="shared" si="0"/>
        <v>27600</v>
      </c>
      <c r="F5" s="278">
        <v>27600</v>
      </c>
      <c r="G5" s="62" t="s">
        <v>302</v>
      </c>
      <c r="H5" s="62">
        <v>0.4</v>
      </c>
      <c r="I5" s="136"/>
      <c r="J5" s="58" t="s">
        <v>897</v>
      </c>
      <c r="K5" s="59"/>
      <c r="L5" s="59"/>
      <c r="M5" s="60" t="s">
        <v>65</v>
      </c>
      <c r="N5" s="57" t="str">
        <f t="array" ref="N5">IF(COUNTA(M3:M4)=COUNTIF(M3:M4,"ДА"),"ДА","НЕТ")</f>
        <v>ДА</v>
      </c>
    </row>
    <row r="6" spans="1:14">
      <c r="A6" s="62">
        <v>4</v>
      </c>
      <c r="B6" s="62" t="s">
        <v>468</v>
      </c>
      <c r="C6" s="62" t="s">
        <v>297</v>
      </c>
      <c r="D6" s="62">
        <v>66000</v>
      </c>
      <c r="E6" s="62">
        <f t="shared" si="0"/>
        <v>0</v>
      </c>
      <c r="F6" s="278">
        <v>0</v>
      </c>
      <c r="G6" s="62" t="s">
        <v>599</v>
      </c>
      <c r="H6" s="62">
        <v>0.3</v>
      </c>
      <c r="I6" s="136"/>
      <c r="J6" s="136"/>
      <c r="K6" s="136"/>
    </row>
    <row r="7" spans="1:14">
      <c r="A7" s="62">
        <v>5</v>
      </c>
      <c r="B7" s="62" t="s">
        <v>471</v>
      </c>
      <c r="C7" s="62" t="s">
        <v>599</v>
      </c>
      <c r="D7" s="62">
        <v>71000</v>
      </c>
      <c r="E7" s="62">
        <f t="shared" si="0"/>
        <v>21300</v>
      </c>
      <c r="F7" s="278">
        <v>21300</v>
      </c>
      <c r="I7" s="136"/>
      <c r="J7" s="136"/>
      <c r="K7" s="136"/>
    </row>
    <row r="8" spans="1:14">
      <c r="A8" s="62">
        <v>6</v>
      </c>
      <c r="B8" s="62" t="s">
        <v>474</v>
      </c>
      <c r="C8" s="62" t="s">
        <v>302</v>
      </c>
      <c r="D8" s="62">
        <v>76000</v>
      </c>
      <c r="E8" s="62">
        <f t="shared" si="0"/>
        <v>30400</v>
      </c>
      <c r="F8" s="278">
        <v>30400</v>
      </c>
      <c r="G8" s="136"/>
      <c r="H8" s="136"/>
      <c r="I8" s="136"/>
      <c r="J8" s="136"/>
      <c r="K8" s="136"/>
    </row>
    <row r="9" spans="1:14">
      <c r="A9" s="62">
        <v>7</v>
      </c>
      <c r="B9" s="62" t="s">
        <v>477</v>
      </c>
      <c r="C9" s="62" t="s">
        <v>598</v>
      </c>
      <c r="D9" s="62">
        <v>34000</v>
      </c>
      <c r="E9" s="62">
        <f t="shared" si="0"/>
        <v>27200</v>
      </c>
      <c r="F9" s="278">
        <v>27200</v>
      </c>
      <c r="G9" s="136"/>
      <c r="H9" s="136"/>
      <c r="I9" s="136"/>
      <c r="J9" s="136"/>
      <c r="K9" s="136"/>
    </row>
    <row r="10" spans="1:14">
      <c r="A10" s="62">
        <v>8</v>
      </c>
      <c r="B10" s="62" t="s">
        <v>479</v>
      </c>
      <c r="C10" s="62" t="s">
        <v>302</v>
      </c>
      <c r="D10" s="62">
        <v>46000</v>
      </c>
      <c r="E10" s="62">
        <f t="shared" si="0"/>
        <v>18400</v>
      </c>
      <c r="F10" s="278">
        <v>18400</v>
      </c>
      <c r="G10" s="136"/>
      <c r="H10" s="136"/>
      <c r="I10" s="136"/>
      <c r="J10" s="136"/>
      <c r="K10" s="136"/>
    </row>
    <row r="11" spans="1:14">
      <c r="A11" s="62">
        <v>9</v>
      </c>
      <c r="B11" s="62" t="s">
        <v>481</v>
      </c>
      <c r="C11" s="62" t="s">
        <v>600</v>
      </c>
      <c r="D11" s="62">
        <v>51000</v>
      </c>
      <c r="E11" s="62">
        <f t="shared" si="0"/>
        <v>0</v>
      </c>
      <c r="F11" s="278">
        <v>0</v>
      </c>
      <c r="G11" s="136"/>
      <c r="H11" s="136"/>
      <c r="I11" s="136"/>
      <c r="J11" s="136"/>
      <c r="K11" s="136"/>
    </row>
    <row r="12" spans="1:14">
      <c r="A12" s="62">
        <v>10</v>
      </c>
      <c r="B12" s="62" t="s">
        <v>483</v>
      </c>
      <c r="C12" s="62" t="s">
        <v>302</v>
      </c>
      <c r="D12" s="62">
        <v>61000</v>
      </c>
      <c r="E12" s="62">
        <f t="shared" si="0"/>
        <v>24400</v>
      </c>
      <c r="F12" s="278">
        <v>24400</v>
      </c>
      <c r="G12" s="136"/>
      <c r="H12" s="136"/>
      <c r="I12" s="136"/>
      <c r="J12" s="136"/>
      <c r="K12" s="136"/>
    </row>
    <row r="13" spans="1:14">
      <c r="A13" s="62">
        <v>11</v>
      </c>
      <c r="B13" s="62" t="s">
        <v>484</v>
      </c>
      <c r="C13" s="62" t="s">
        <v>304</v>
      </c>
      <c r="D13" s="62">
        <v>49000</v>
      </c>
      <c r="E13" s="62">
        <f t="shared" si="0"/>
        <v>29400</v>
      </c>
      <c r="F13" s="278">
        <v>29400</v>
      </c>
      <c r="G13" s="136"/>
      <c r="H13" s="136"/>
      <c r="I13" s="136"/>
      <c r="J13" s="136"/>
      <c r="K13" s="136"/>
    </row>
    <row r="14" spans="1:14">
      <c r="A14" s="62">
        <v>12</v>
      </c>
      <c r="B14" s="62" t="s">
        <v>486</v>
      </c>
      <c r="C14" s="62" t="s">
        <v>598</v>
      </c>
      <c r="D14" s="62">
        <v>36000</v>
      </c>
      <c r="E14" s="62">
        <f t="shared" si="0"/>
        <v>28800</v>
      </c>
      <c r="F14" s="278">
        <v>28800</v>
      </c>
      <c r="G14" s="136"/>
      <c r="H14" s="136"/>
      <c r="I14" s="136"/>
      <c r="J14" s="136"/>
      <c r="K14" s="136"/>
    </row>
    <row r="15" spans="1:14">
      <c r="A15" s="62">
        <v>13</v>
      </c>
      <c r="B15" s="62" t="s">
        <v>487</v>
      </c>
      <c r="C15" s="62" t="s">
        <v>302</v>
      </c>
      <c r="D15" s="62">
        <v>41000</v>
      </c>
      <c r="E15" s="62">
        <f t="shared" si="0"/>
        <v>16400</v>
      </c>
      <c r="F15" s="278">
        <v>16400</v>
      </c>
      <c r="G15" s="136"/>
      <c r="H15" s="136"/>
      <c r="I15" s="136"/>
      <c r="J15" s="136"/>
      <c r="K15" s="136"/>
    </row>
    <row r="16" spans="1:14">
      <c r="A16" s="62">
        <v>14</v>
      </c>
      <c r="B16" s="62" t="s">
        <v>488</v>
      </c>
      <c r="C16" s="62" t="s">
        <v>600</v>
      </c>
      <c r="D16" s="62">
        <v>56000</v>
      </c>
      <c r="E16" s="62">
        <f t="shared" si="0"/>
        <v>0</v>
      </c>
      <c r="F16" s="278">
        <v>0</v>
      </c>
      <c r="G16" s="136"/>
      <c r="H16" s="136"/>
      <c r="I16" s="136"/>
      <c r="J16" s="136"/>
      <c r="K16" s="136"/>
    </row>
    <row r="17" spans="1:11">
      <c r="A17" s="62">
        <v>15</v>
      </c>
      <c r="B17" s="62" t="s">
        <v>489</v>
      </c>
      <c r="C17" s="62" t="s">
        <v>304</v>
      </c>
      <c r="D17" s="62">
        <v>37000</v>
      </c>
      <c r="E17" s="62">
        <f t="shared" si="0"/>
        <v>22200</v>
      </c>
      <c r="F17" s="278">
        <v>22200</v>
      </c>
      <c r="G17" s="136"/>
      <c r="H17" s="136"/>
      <c r="I17" s="136"/>
      <c r="J17" s="136"/>
      <c r="K17" s="136"/>
    </row>
    <row r="18" spans="1:11">
      <c r="A18" s="62">
        <v>16</v>
      </c>
      <c r="B18" s="62" t="s">
        <v>490</v>
      </c>
      <c r="C18" s="62" t="s">
        <v>599</v>
      </c>
      <c r="D18" s="62">
        <v>59000</v>
      </c>
      <c r="E18" s="62">
        <f t="shared" si="0"/>
        <v>17700</v>
      </c>
      <c r="F18" s="278">
        <v>17700</v>
      </c>
      <c r="G18" s="136"/>
      <c r="H18" s="136"/>
      <c r="I18" s="136"/>
      <c r="J18" s="136"/>
      <c r="K18" s="136"/>
    </row>
    <row r="19" spans="1:11">
      <c r="A19" s="62">
        <v>17</v>
      </c>
      <c r="B19" s="62" t="s">
        <v>491</v>
      </c>
      <c r="C19" s="62" t="s">
        <v>304</v>
      </c>
      <c r="D19" s="62">
        <v>50000</v>
      </c>
      <c r="E19" s="62">
        <f t="shared" si="0"/>
        <v>30000</v>
      </c>
      <c r="F19" s="278">
        <v>30000</v>
      </c>
      <c r="G19" s="136"/>
      <c r="H19" s="136"/>
      <c r="I19" s="136"/>
      <c r="J19" s="136"/>
      <c r="K19" s="136"/>
    </row>
    <row r="20" spans="1:11">
      <c r="A20" s="62">
        <v>18</v>
      </c>
      <c r="B20" s="62" t="s">
        <v>492</v>
      </c>
      <c r="C20" s="62" t="s">
        <v>304</v>
      </c>
      <c r="D20" s="62">
        <v>56000</v>
      </c>
      <c r="E20" s="62">
        <f t="shared" si="0"/>
        <v>33600</v>
      </c>
      <c r="F20" s="278">
        <v>33600</v>
      </c>
      <c r="G20" s="136"/>
      <c r="H20" s="136"/>
      <c r="I20" s="136"/>
      <c r="J20" s="136"/>
      <c r="K20" s="136"/>
    </row>
    <row r="21" spans="1:11">
      <c r="A21" s="62">
        <v>19</v>
      </c>
      <c r="B21" s="62" t="s">
        <v>493</v>
      </c>
      <c r="C21" s="62" t="s">
        <v>599</v>
      </c>
      <c r="D21" s="62">
        <v>67000</v>
      </c>
      <c r="E21" s="62">
        <f t="shared" si="0"/>
        <v>20100</v>
      </c>
      <c r="F21" s="278">
        <v>20100</v>
      </c>
      <c r="G21" s="136"/>
      <c r="H21" s="136"/>
      <c r="I21" s="136"/>
      <c r="J21" s="136"/>
      <c r="K21" s="136"/>
    </row>
    <row r="22" spans="1:11">
      <c r="A22" s="62">
        <v>20</v>
      </c>
      <c r="B22" s="62" t="s">
        <v>494</v>
      </c>
      <c r="C22" s="62" t="s">
        <v>302</v>
      </c>
      <c r="D22" s="62">
        <v>53000</v>
      </c>
      <c r="E22" s="62">
        <f t="shared" si="0"/>
        <v>21200</v>
      </c>
      <c r="F22" s="278">
        <v>21200</v>
      </c>
      <c r="G22" s="136"/>
      <c r="H22" s="136"/>
      <c r="I22" s="136"/>
      <c r="J22" s="136"/>
      <c r="K22" s="136"/>
    </row>
    <row r="23" spans="1:11">
      <c r="A23" s="62">
        <v>21</v>
      </c>
      <c r="B23" s="62" t="s">
        <v>495</v>
      </c>
      <c r="C23" s="62" t="s">
        <v>302</v>
      </c>
      <c r="D23" s="62">
        <v>45000</v>
      </c>
      <c r="E23" s="62">
        <f t="shared" si="0"/>
        <v>18000</v>
      </c>
      <c r="F23" s="278">
        <v>18000</v>
      </c>
      <c r="G23" s="136"/>
      <c r="H23" s="136"/>
      <c r="I23" s="136"/>
      <c r="J23" s="136"/>
      <c r="K23" s="136"/>
    </row>
    <row r="24" spans="1:11">
      <c r="A24" s="62">
        <v>22</v>
      </c>
      <c r="B24" s="62" t="s">
        <v>496</v>
      </c>
      <c r="C24" s="62" t="s">
        <v>304</v>
      </c>
      <c r="D24" s="62">
        <v>31000</v>
      </c>
      <c r="E24" s="62">
        <f t="shared" si="0"/>
        <v>18600</v>
      </c>
      <c r="F24" s="278">
        <v>18600</v>
      </c>
      <c r="G24" s="136"/>
      <c r="H24" s="136"/>
      <c r="I24" s="136"/>
      <c r="J24" s="136"/>
      <c r="K24" s="136"/>
    </row>
    <row r="25" spans="1:11">
      <c r="A25" s="62">
        <v>23</v>
      </c>
      <c r="B25" s="62" t="s">
        <v>497</v>
      </c>
      <c r="C25" s="62" t="s">
        <v>304</v>
      </c>
      <c r="D25" s="62">
        <v>55000</v>
      </c>
      <c r="E25" s="62">
        <f t="shared" si="0"/>
        <v>33000</v>
      </c>
      <c r="F25" s="278">
        <v>33000</v>
      </c>
      <c r="G25" s="136"/>
      <c r="H25" s="136"/>
      <c r="I25" s="136"/>
      <c r="J25" s="136"/>
      <c r="K25" s="136"/>
    </row>
    <row r="27" spans="1:11" ht="24">
      <c r="A27" s="282" t="s">
        <v>1017</v>
      </c>
    </row>
    <row r="28" spans="1:11" ht="46.5" customHeight="1">
      <c r="A28" s="279" t="s">
        <v>499</v>
      </c>
      <c r="B28" s="279" t="s">
        <v>1000</v>
      </c>
      <c r="C28" s="279" t="s">
        <v>501</v>
      </c>
      <c r="D28" s="280"/>
      <c r="E28" s="279" t="s">
        <v>1000</v>
      </c>
      <c r="F28" s="279" t="s">
        <v>501</v>
      </c>
    </row>
    <row r="29" spans="1:11">
      <c r="A29" s="281" t="s">
        <v>1001</v>
      </c>
      <c r="B29" s="281">
        <v>573</v>
      </c>
      <c r="C29" s="283">
        <f>VLOOKUP(B29,$E$29:$F$37,2,1)</f>
        <v>77</v>
      </c>
      <c r="D29" s="284">
        <v>77</v>
      </c>
      <c r="E29" s="281">
        <v>0</v>
      </c>
      <c r="F29" s="281">
        <v>11</v>
      </c>
    </row>
    <row r="30" spans="1:11">
      <c r="A30" s="281" t="s">
        <v>1002</v>
      </c>
      <c r="B30" s="281">
        <v>1628</v>
      </c>
      <c r="C30" s="283">
        <f t="shared" ref="C30:C43" si="1">VLOOKUP(B30,$E$29:$F$37,2,1)</f>
        <v>111</v>
      </c>
      <c r="D30" s="285">
        <v>111</v>
      </c>
      <c r="E30" s="281">
        <v>100</v>
      </c>
      <c r="F30" s="281">
        <v>22</v>
      </c>
    </row>
    <row r="31" spans="1:11">
      <c r="A31" s="281" t="s">
        <v>1003</v>
      </c>
      <c r="B31" s="281">
        <v>430</v>
      </c>
      <c r="C31" s="283">
        <f t="shared" si="1"/>
        <v>55</v>
      </c>
      <c r="D31" s="285">
        <v>55</v>
      </c>
      <c r="E31" s="281">
        <v>200</v>
      </c>
      <c r="F31" s="281">
        <v>33</v>
      </c>
    </row>
    <row r="32" spans="1:11">
      <c r="A32" s="281" t="s">
        <v>1004</v>
      </c>
      <c r="B32" s="281">
        <v>12</v>
      </c>
      <c r="C32" s="283">
        <f t="shared" si="1"/>
        <v>11</v>
      </c>
      <c r="D32" s="285">
        <v>11</v>
      </c>
      <c r="E32" s="281">
        <v>300</v>
      </c>
      <c r="F32" s="281">
        <v>44</v>
      </c>
    </row>
    <row r="33" spans="1:6">
      <c r="A33" s="281" t="s">
        <v>1005</v>
      </c>
      <c r="B33" s="281">
        <v>1188</v>
      </c>
      <c r="C33" s="283">
        <f t="shared" si="1"/>
        <v>99</v>
      </c>
      <c r="D33" s="285">
        <v>99</v>
      </c>
      <c r="E33" s="281">
        <v>400</v>
      </c>
      <c r="F33" s="281">
        <v>55</v>
      </c>
    </row>
    <row r="34" spans="1:6">
      <c r="A34" s="281" t="s">
        <v>1006</v>
      </c>
      <c r="B34" s="281">
        <v>131</v>
      </c>
      <c r="C34" s="283">
        <f t="shared" si="1"/>
        <v>22</v>
      </c>
      <c r="D34" s="285">
        <v>22</v>
      </c>
      <c r="E34" s="281">
        <v>500</v>
      </c>
      <c r="F34" s="281">
        <v>77</v>
      </c>
    </row>
    <row r="35" spans="1:6">
      <c r="A35" s="281" t="s">
        <v>1007</v>
      </c>
      <c r="B35" s="281">
        <v>779</v>
      </c>
      <c r="C35" s="283">
        <f t="shared" si="1"/>
        <v>88</v>
      </c>
      <c r="D35" s="285">
        <v>88</v>
      </c>
      <c r="E35" s="281">
        <v>750</v>
      </c>
      <c r="F35" s="281">
        <v>88</v>
      </c>
    </row>
    <row r="36" spans="1:6">
      <c r="A36" s="281" t="s">
        <v>1008</v>
      </c>
      <c r="B36" s="281">
        <v>49</v>
      </c>
      <c r="C36" s="283">
        <f t="shared" si="1"/>
        <v>11</v>
      </c>
      <c r="D36" s="285">
        <v>11</v>
      </c>
      <c r="E36" s="281">
        <v>1000</v>
      </c>
      <c r="F36" s="281">
        <v>99</v>
      </c>
    </row>
    <row r="37" spans="1:6">
      <c r="A37" s="281" t="s">
        <v>1009</v>
      </c>
      <c r="B37" s="281">
        <v>621</v>
      </c>
      <c r="C37" s="283">
        <f t="shared" si="1"/>
        <v>77</v>
      </c>
      <c r="D37" s="285">
        <v>77</v>
      </c>
      <c r="E37" s="281">
        <v>1500</v>
      </c>
      <c r="F37" s="281">
        <v>111</v>
      </c>
    </row>
    <row r="38" spans="1:6">
      <c r="A38" s="281" t="s">
        <v>1010</v>
      </c>
      <c r="B38" s="281">
        <v>323</v>
      </c>
      <c r="C38" s="283">
        <f t="shared" si="1"/>
        <v>44</v>
      </c>
      <c r="D38" s="285">
        <v>44</v>
      </c>
      <c r="E38" s="280"/>
      <c r="F38" s="280"/>
    </row>
    <row r="39" spans="1:6">
      <c r="A39" s="281" t="s">
        <v>1011</v>
      </c>
      <c r="B39" s="281">
        <v>245</v>
      </c>
      <c r="C39" s="283">
        <f t="shared" si="1"/>
        <v>33</v>
      </c>
      <c r="D39" s="271">
        <v>33</v>
      </c>
      <c r="E39"/>
      <c r="F39"/>
    </row>
    <row r="40" spans="1:6">
      <c r="A40" s="281" t="s">
        <v>1012</v>
      </c>
      <c r="B40" s="281">
        <v>1296</v>
      </c>
      <c r="C40" s="283">
        <f t="shared" si="1"/>
        <v>99</v>
      </c>
      <c r="D40" s="271">
        <v>99</v>
      </c>
      <c r="E40"/>
      <c r="F40"/>
    </row>
    <row r="41" spans="1:6">
      <c r="A41" s="281" t="s">
        <v>1013</v>
      </c>
      <c r="B41" s="281">
        <v>100</v>
      </c>
      <c r="C41" s="283">
        <f t="shared" si="1"/>
        <v>22</v>
      </c>
      <c r="D41" s="271">
        <v>22</v>
      </c>
      <c r="E41"/>
      <c r="F41"/>
    </row>
    <row r="42" spans="1:6">
      <c r="A42" s="281" t="s">
        <v>1014</v>
      </c>
      <c r="B42" s="281">
        <v>394</v>
      </c>
      <c r="C42" s="283">
        <f t="shared" si="1"/>
        <v>44</v>
      </c>
      <c r="D42" s="271">
        <v>44</v>
      </c>
      <c r="E42"/>
      <c r="F42"/>
    </row>
    <row r="43" spans="1:6">
      <c r="A43" s="281" t="s">
        <v>1015</v>
      </c>
      <c r="B43" s="281">
        <v>607</v>
      </c>
      <c r="C43" s="283">
        <f t="shared" si="1"/>
        <v>77</v>
      </c>
      <c r="D43" s="271">
        <v>77</v>
      </c>
      <c r="E43"/>
      <c r="F43"/>
    </row>
  </sheetData>
  <conditionalFormatting sqref="M3">
    <cfRule type="cellIs" dxfId="69" priority="5" operator="equal">
      <formula>"нет"</formula>
    </cfRule>
    <cfRule type="cellIs" dxfId="68" priority="6" operator="equal">
      <formula>"да"</formula>
    </cfRule>
  </conditionalFormatting>
  <conditionalFormatting sqref="M4">
    <cfRule type="cellIs" dxfId="67" priority="3" operator="equal">
      <formula>"нет"</formula>
    </cfRule>
    <cfRule type="cellIs" dxfId="66" priority="4" operator="equal">
      <formula>"да"</formula>
    </cfRule>
  </conditionalFormatting>
  <conditionalFormatting sqref="N5">
    <cfRule type="cellIs" dxfId="65" priority="1" operator="equal">
      <formula>"нет"</formula>
    </cfRule>
    <cfRule type="cellIs" dxfId="64" priority="2" operator="equal">
      <formula>"да"</formula>
    </cfRule>
  </conditionalFormatting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4" tint="0.59999389629810485"/>
  </sheetPr>
  <dimension ref="A1:AQ34"/>
  <sheetViews>
    <sheetView showGridLines="0" topLeftCell="H5" workbookViewId="0">
      <selection activeCell="X16" sqref="X16"/>
    </sheetView>
  </sheetViews>
  <sheetFormatPr baseColWidth="10" defaultColWidth="8.83203125" defaultRowHeight="15"/>
  <cols>
    <col min="1" max="1" width="10.33203125" customWidth="1"/>
    <col min="2" max="2" width="1.83203125" style="166" customWidth="1"/>
    <col min="3" max="3" width="3.33203125" style="166" bestFit="1" customWidth="1"/>
    <col min="4" max="4" width="16.1640625" style="166" bestFit="1" customWidth="1"/>
    <col min="5" max="5" width="12.83203125" style="166" bestFit="1" customWidth="1"/>
    <col min="6" max="6" width="9" style="166" bestFit="1" customWidth="1"/>
    <col min="7" max="7" width="8.5" style="166" bestFit="1" customWidth="1"/>
    <col min="8" max="8" width="10.33203125" style="166" bestFit="1" customWidth="1"/>
    <col min="9" max="9" width="3.33203125" style="166" bestFit="1" customWidth="1"/>
    <col min="10" max="10" width="16.1640625" style="166" bestFit="1" customWidth="1"/>
    <col min="11" max="11" width="12.83203125" style="166" bestFit="1" customWidth="1"/>
    <col min="12" max="12" width="9" style="166" bestFit="1" customWidth="1"/>
    <col min="13" max="13" width="12.33203125" style="166" bestFit="1" customWidth="1"/>
    <col min="14" max="14" width="8.33203125" style="166" bestFit="1" customWidth="1"/>
    <col min="15" max="15" width="9.5" style="166" bestFit="1" customWidth="1"/>
    <col min="16" max="16" width="8.83203125" style="166"/>
    <col min="17" max="17" width="3.33203125" style="166" bestFit="1" customWidth="1"/>
    <col min="18" max="18" width="16.1640625" style="166" bestFit="1" customWidth="1"/>
    <col min="19" max="19" width="12.83203125" style="166" bestFit="1" customWidth="1"/>
    <col min="20" max="20" width="10" style="166" bestFit="1" customWidth="1"/>
    <col min="21" max="21" width="8.5" style="166" bestFit="1" customWidth="1"/>
    <col min="22" max="43" width="8.83203125" style="166"/>
  </cols>
  <sheetData>
    <row r="1" spans="1:43" ht="15" customHeight="1">
      <c r="D1" s="415" t="s">
        <v>601</v>
      </c>
      <c r="E1" s="416"/>
      <c r="F1" s="416"/>
      <c r="G1" s="417"/>
      <c r="J1" s="415" t="s">
        <v>602</v>
      </c>
      <c r="K1" s="416"/>
      <c r="L1" s="416"/>
      <c r="M1" s="416"/>
      <c r="N1" s="417"/>
      <c r="R1" s="415" t="s">
        <v>603</v>
      </c>
      <c r="S1" s="416"/>
      <c r="T1" s="416"/>
      <c r="U1" s="417"/>
    </row>
    <row r="2" spans="1:43">
      <c r="A2" s="130" t="s">
        <v>604</v>
      </c>
      <c r="D2" s="418"/>
      <c r="E2" s="419"/>
      <c r="F2" s="419"/>
      <c r="G2" s="420"/>
      <c r="J2" s="418"/>
      <c r="K2" s="419"/>
      <c r="L2" s="419"/>
      <c r="M2" s="419"/>
      <c r="N2" s="420"/>
      <c r="R2" s="418"/>
      <c r="S2" s="419"/>
      <c r="T2" s="419"/>
      <c r="U2" s="420"/>
    </row>
    <row r="3" spans="1:43" ht="34.5" customHeight="1">
      <c r="A3" s="130" t="s">
        <v>605</v>
      </c>
      <c r="D3" s="421"/>
      <c r="E3" s="422"/>
      <c r="F3" s="422"/>
      <c r="G3" s="423"/>
      <c r="J3" s="421"/>
      <c r="K3" s="422"/>
      <c r="L3" s="422"/>
      <c r="M3" s="422"/>
      <c r="N3" s="423"/>
      <c r="R3" s="421"/>
      <c r="S3" s="422"/>
      <c r="T3" s="422"/>
      <c r="U3" s="423"/>
      <c r="W3" s="51" t="s">
        <v>59</v>
      </c>
      <c r="X3" s="52"/>
      <c r="Y3" s="53" t="s">
        <v>60</v>
      </c>
      <c r="Z3" s="52">
        <v>3</v>
      </c>
    </row>
    <row r="4" spans="1:43">
      <c r="A4" s="130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 s="54"/>
      <c r="X4" s="54"/>
      <c r="Y4" s="59"/>
      <c r="Z4" s="60" t="s">
        <v>893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</row>
    <row r="5" spans="1:43">
      <c r="A5" s="130"/>
      <c r="C5" s="167"/>
      <c r="D5" s="424" t="s">
        <v>606</v>
      </c>
      <c r="E5" s="425"/>
      <c r="F5" s="425"/>
      <c r="G5" s="426"/>
      <c r="H5" s="167"/>
      <c r="I5" s="167"/>
      <c r="J5" s="424" t="s">
        <v>606</v>
      </c>
      <c r="K5" s="425"/>
      <c r="L5" s="425"/>
      <c r="M5" s="425"/>
      <c r="N5" s="425"/>
      <c r="O5" s="167"/>
      <c r="Q5" s="167"/>
      <c r="R5" s="424" t="s">
        <v>606</v>
      </c>
      <c r="S5" s="425"/>
      <c r="T5" s="425"/>
      <c r="U5" s="426"/>
      <c r="W5" s="55" t="s">
        <v>900</v>
      </c>
      <c r="X5" s="56"/>
      <c r="Y5" s="56"/>
      <c r="Z5" s="57" t="str">
        <f t="array" ref="Z5">IF(SUM(COUNTIF(G12:G21,H12:H21))=52,"ДА","НЕТ")</f>
        <v>ДА</v>
      </c>
    </row>
    <row r="6" spans="1:43">
      <c r="C6" s="167"/>
      <c r="D6" s="168" t="s">
        <v>607</v>
      </c>
      <c r="E6" s="169"/>
      <c r="F6" s="169" t="s">
        <v>608</v>
      </c>
      <c r="G6" s="170">
        <v>0.3</v>
      </c>
      <c r="H6" s="167"/>
      <c r="I6" s="171"/>
      <c r="J6" s="168" t="s">
        <v>609</v>
      </c>
      <c r="K6" s="172" t="s">
        <v>605</v>
      </c>
      <c r="L6" s="169" t="s">
        <v>610</v>
      </c>
      <c r="M6" s="173">
        <v>0.3</v>
      </c>
      <c r="N6" s="174"/>
      <c r="O6" s="167"/>
      <c r="Q6" s="167"/>
      <c r="R6" s="168" t="s">
        <v>607</v>
      </c>
      <c r="S6" s="169"/>
      <c r="T6" s="169" t="s">
        <v>612</v>
      </c>
      <c r="U6" s="175">
        <v>5000</v>
      </c>
      <c r="W6" s="55" t="s">
        <v>901</v>
      </c>
      <c r="X6" s="56"/>
      <c r="Y6" s="56"/>
      <c r="Z6" s="57" t="str">
        <f t="array" ref="Z6">IF(SUM(COUNTIF(N12:N21,P12:P21))=66,"ДА","НЕТ")</f>
        <v>ДА</v>
      </c>
    </row>
    <row r="7" spans="1:43">
      <c r="A7" s="130"/>
      <c r="C7" s="167"/>
      <c r="D7" s="176" t="s">
        <v>613</v>
      </c>
      <c r="E7" s="177"/>
      <c r="F7" s="177"/>
      <c r="G7" s="178">
        <v>5000</v>
      </c>
      <c r="H7" s="167"/>
      <c r="I7" s="171"/>
      <c r="J7" s="176" t="s">
        <v>613</v>
      </c>
      <c r="K7" s="177"/>
      <c r="L7" s="177"/>
      <c r="M7" s="179">
        <v>5000</v>
      </c>
      <c r="N7" s="180"/>
      <c r="O7" s="167"/>
      <c r="Q7" s="167"/>
      <c r="R7" s="181" t="s">
        <v>607</v>
      </c>
      <c r="S7" s="182"/>
      <c r="T7" s="182" t="s">
        <v>614</v>
      </c>
      <c r="U7" s="183">
        <v>0.2</v>
      </c>
      <c r="W7" s="55" t="s">
        <v>902</v>
      </c>
      <c r="X7" s="56"/>
      <c r="Y7" s="56"/>
      <c r="Z7" s="57" t="str">
        <f t="array" ref="Z7">IF(SUM(COUNTIF(U12:U21,V12:V21))=16,"ДА","НЕТ")</f>
        <v>ДА</v>
      </c>
    </row>
    <row r="8" spans="1:43">
      <c r="C8" s="184"/>
      <c r="H8" s="167"/>
      <c r="I8" s="185"/>
      <c r="O8" s="167"/>
      <c r="Q8" s="184"/>
      <c r="R8" s="176" t="s">
        <v>607</v>
      </c>
      <c r="S8" s="177"/>
      <c r="T8" s="177" t="s">
        <v>611</v>
      </c>
      <c r="U8" s="186">
        <v>0.3</v>
      </c>
    </row>
    <row r="9" spans="1:43" ht="16">
      <c r="C9" s="184"/>
      <c r="D9" s="187"/>
      <c r="E9" s="187"/>
      <c r="F9" s="187"/>
      <c r="G9" s="188"/>
      <c r="H9" s="167"/>
      <c r="I9" s="185"/>
      <c r="J9" s="187"/>
      <c r="K9" s="187"/>
      <c r="L9" s="187"/>
      <c r="M9" s="188"/>
      <c r="N9" s="187"/>
      <c r="O9" s="167"/>
      <c r="Q9" s="184"/>
      <c r="R9" s="187"/>
      <c r="S9" s="187"/>
      <c r="T9" s="187"/>
      <c r="U9" s="188"/>
      <c r="W9" s="58" t="s">
        <v>903</v>
      </c>
      <c r="X9" s="59"/>
      <c r="Y9" s="59"/>
      <c r="Z9" s="59"/>
      <c r="AA9" s="60" t="s">
        <v>65</v>
      </c>
      <c r="AB9" s="57" t="str">
        <f>IF(COUNTA(Z5:Z7)=COUNTIF(Z5:Z7,"ДА"),"ДА","НЕТ")</f>
        <v>ДА</v>
      </c>
    </row>
    <row r="11" spans="1:43">
      <c r="C11" s="189" t="s">
        <v>80</v>
      </c>
      <c r="D11" s="189" t="s">
        <v>594</v>
      </c>
      <c r="E11" s="189" t="s">
        <v>615</v>
      </c>
      <c r="F11" s="189" t="s">
        <v>453</v>
      </c>
      <c r="G11" s="189" t="s">
        <v>596</v>
      </c>
      <c r="I11" s="189" t="s">
        <v>80</v>
      </c>
      <c r="J11" s="189" t="s">
        <v>594</v>
      </c>
      <c r="K11" s="189" t="s">
        <v>615</v>
      </c>
      <c r="L11" s="189" t="s">
        <v>453</v>
      </c>
      <c r="M11" s="189" t="s">
        <v>434</v>
      </c>
      <c r="N11" s="189" t="s">
        <v>596</v>
      </c>
      <c r="O11" s="189" t="s">
        <v>616</v>
      </c>
      <c r="Q11" s="189" t="s">
        <v>80</v>
      </c>
      <c r="R11" s="189" t="s">
        <v>594</v>
      </c>
      <c r="S11" s="189" t="s">
        <v>615</v>
      </c>
      <c r="T11" s="189" t="s">
        <v>453</v>
      </c>
      <c r="U11" s="189" t="s">
        <v>596</v>
      </c>
    </row>
    <row r="12" spans="1:43">
      <c r="C12" s="190">
        <v>1</v>
      </c>
      <c r="D12" s="191" t="s">
        <v>617</v>
      </c>
      <c r="E12" s="192">
        <v>7</v>
      </c>
      <c r="F12" s="191">
        <v>55000</v>
      </c>
      <c r="G12" s="191">
        <f>IF(E12&gt;=8,$G$6*F12,$G$7)</f>
        <v>5000</v>
      </c>
      <c r="H12" s="50">
        <v>5000</v>
      </c>
      <c r="I12" s="190">
        <v>1</v>
      </c>
      <c r="J12" s="191" t="s">
        <v>617</v>
      </c>
      <c r="K12" s="192">
        <v>7</v>
      </c>
      <c r="L12" s="191">
        <v>55000</v>
      </c>
      <c r="M12" s="191" t="s">
        <v>618</v>
      </c>
      <c r="N12" s="191">
        <f>IF(AND(M12="штатный",K12&gt;=7),$M$6*L12,$M$7)</f>
        <v>16500</v>
      </c>
      <c r="O12" s="191" t="b">
        <f>AND(K12&gt;=7,M12="Штатный")</f>
        <v>1</v>
      </c>
      <c r="P12" s="50">
        <v>16500</v>
      </c>
      <c r="Q12" s="190">
        <v>1</v>
      </c>
      <c r="R12" s="191" t="s">
        <v>617</v>
      </c>
      <c r="S12" s="192">
        <v>7</v>
      </c>
      <c r="T12" s="191">
        <v>55000</v>
      </c>
      <c r="U12" s="191">
        <f>IF(S12&gt;8,$U$8*T12,IF(S12&gt;=5,$U$7*T12,$U$6))</f>
        <v>11000</v>
      </c>
      <c r="V12" s="50">
        <v>11000</v>
      </c>
    </row>
    <row r="13" spans="1:43">
      <c r="C13" s="190">
        <v>2</v>
      </c>
      <c r="D13" s="191" t="s">
        <v>619</v>
      </c>
      <c r="E13" s="192">
        <v>5</v>
      </c>
      <c r="F13" s="191">
        <v>42000</v>
      </c>
      <c r="G13" s="191">
        <f t="shared" ref="G13:G21" si="0">IF(E13&gt;=8,$G$6*F13,$G$7)</f>
        <v>5000</v>
      </c>
      <c r="H13" s="50">
        <v>5000</v>
      </c>
      <c r="I13" s="190">
        <v>2</v>
      </c>
      <c r="J13" s="191" t="s">
        <v>619</v>
      </c>
      <c r="K13" s="192">
        <v>5</v>
      </c>
      <c r="L13" s="191">
        <v>42000</v>
      </c>
      <c r="M13" s="191" t="s">
        <v>618</v>
      </c>
      <c r="N13" s="191">
        <f t="shared" ref="N13:N21" si="1">IF(AND(M13="штатный",K13&gt;=7),$M$6*L13,$M$7)</f>
        <v>5000</v>
      </c>
      <c r="O13" s="191" t="b">
        <f t="shared" ref="O13:O21" si="2">AND(K13&gt;=7,M13="Штатный")</f>
        <v>0</v>
      </c>
      <c r="P13" s="50">
        <v>5000</v>
      </c>
      <c r="Q13" s="190">
        <v>2</v>
      </c>
      <c r="R13" s="191" t="s">
        <v>619</v>
      </c>
      <c r="S13" s="192">
        <v>5</v>
      </c>
      <c r="T13" s="191">
        <v>42000</v>
      </c>
      <c r="U13" s="191">
        <f t="shared" ref="U13:U21" si="3">IF(S13&gt;8,$U$8*T13,IF(S13&gt;=5,$U$7*T13,$U$6))</f>
        <v>8400</v>
      </c>
      <c r="V13" s="50">
        <v>8400</v>
      </c>
    </row>
    <row r="14" spans="1:43">
      <c r="C14" s="190">
        <v>3</v>
      </c>
      <c r="D14" s="191" t="s">
        <v>620</v>
      </c>
      <c r="E14" s="192">
        <v>3</v>
      </c>
      <c r="F14" s="191">
        <v>45000</v>
      </c>
      <c r="G14" s="191">
        <f t="shared" si="0"/>
        <v>5000</v>
      </c>
      <c r="H14" s="50">
        <v>5000</v>
      </c>
      <c r="I14" s="190">
        <v>3</v>
      </c>
      <c r="J14" s="191" t="s">
        <v>620</v>
      </c>
      <c r="K14" s="192">
        <v>3</v>
      </c>
      <c r="L14" s="191">
        <v>45000</v>
      </c>
      <c r="M14" s="191" t="s">
        <v>621</v>
      </c>
      <c r="N14" s="191">
        <f t="shared" si="1"/>
        <v>5000</v>
      </c>
      <c r="O14" s="191" t="b">
        <f t="shared" si="2"/>
        <v>0</v>
      </c>
      <c r="P14" s="50">
        <v>5000</v>
      </c>
      <c r="Q14" s="190">
        <v>3</v>
      </c>
      <c r="R14" s="191" t="s">
        <v>620</v>
      </c>
      <c r="S14" s="192">
        <v>3</v>
      </c>
      <c r="T14" s="191">
        <v>45000</v>
      </c>
      <c r="U14" s="191">
        <f t="shared" si="3"/>
        <v>5000</v>
      </c>
      <c r="V14" s="50">
        <v>5000</v>
      </c>
    </row>
    <row r="15" spans="1:43">
      <c r="C15" s="190">
        <v>4</v>
      </c>
      <c r="D15" s="191" t="s">
        <v>622</v>
      </c>
      <c r="E15" s="192">
        <v>5</v>
      </c>
      <c r="F15" s="191">
        <v>65000</v>
      </c>
      <c r="G15" s="191">
        <f t="shared" si="0"/>
        <v>5000</v>
      </c>
      <c r="H15" s="50">
        <v>5000</v>
      </c>
      <c r="I15" s="190">
        <v>4</v>
      </c>
      <c r="J15" s="191" t="s">
        <v>622</v>
      </c>
      <c r="K15" s="192">
        <v>5</v>
      </c>
      <c r="L15" s="191">
        <v>65000</v>
      </c>
      <c r="M15" s="191" t="s">
        <v>618</v>
      </c>
      <c r="N15" s="191">
        <f t="shared" si="1"/>
        <v>5000</v>
      </c>
      <c r="O15" s="191" t="b">
        <f t="shared" si="2"/>
        <v>0</v>
      </c>
      <c r="P15" s="50">
        <v>5000</v>
      </c>
      <c r="Q15" s="190">
        <v>4</v>
      </c>
      <c r="R15" s="191" t="s">
        <v>622</v>
      </c>
      <c r="S15" s="192">
        <v>5</v>
      </c>
      <c r="T15" s="191">
        <v>65000</v>
      </c>
      <c r="U15" s="191">
        <f t="shared" si="3"/>
        <v>13000</v>
      </c>
      <c r="V15" s="50">
        <v>13000</v>
      </c>
    </row>
    <row r="16" spans="1:43">
      <c r="C16" s="190">
        <v>5</v>
      </c>
      <c r="D16" s="191" t="s">
        <v>623</v>
      </c>
      <c r="E16" s="192">
        <v>4</v>
      </c>
      <c r="F16" s="191">
        <v>70000</v>
      </c>
      <c r="G16" s="191">
        <f t="shared" si="0"/>
        <v>5000</v>
      </c>
      <c r="H16" s="50">
        <v>5000</v>
      </c>
      <c r="I16" s="190">
        <v>5</v>
      </c>
      <c r="J16" s="191" t="s">
        <v>623</v>
      </c>
      <c r="K16" s="192">
        <v>4</v>
      </c>
      <c r="L16" s="191">
        <v>70000</v>
      </c>
      <c r="M16" s="191" t="s">
        <v>618</v>
      </c>
      <c r="N16" s="191">
        <f t="shared" si="1"/>
        <v>5000</v>
      </c>
      <c r="O16" s="191" t="b">
        <f t="shared" si="2"/>
        <v>0</v>
      </c>
      <c r="P16" s="50">
        <v>5000</v>
      </c>
      <c r="Q16" s="190">
        <v>5</v>
      </c>
      <c r="R16" s="191" t="s">
        <v>623</v>
      </c>
      <c r="S16" s="192">
        <v>4</v>
      </c>
      <c r="T16" s="191">
        <v>70000</v>
      </c>
      <c r="U16" s="191">
        <f t="shared" si="3"/>
        <v>5000</v>
      </c>
      <c r="V16" s="50">
        <v>5000</v>
      </c>
      <c r="X16"/>
    </row>
    <row r="17" spans="3:24">
      <c r="C17" s="190">
        <v>6</v>
      </c>
      <c r="D17" s="191" t="s">
        <v>624</v>
      </c>
      <c r="E17" s="192">
        <v>6</v>
      </c>
      <c r="F17" s="191">
        <v>38000</v>
      </c>
      <c r="G17" s="191">
        <f t="shared" si="0"/>
        <v>5000</v>
      </c>
      <c r="H17" s="50">
        <v>5000</v>
      </c>
      <c r="I17" s="190">
        <v>6</v>
      </c>
      <c r="J17" s="191" t="s">
        <v>624</v>
      </c>
      <c r="K17" s="192">
        <v>6</v>
      </c>
      <c r="L17" s="191">
        <v>38000</v>
      </c>
      <c r="M17" s="191" t="s">
        <v>621</v>
      </c>
      <c r="N17" s="191">
        <f t="shared" si="1"/>
        <v>5000</v>
      </c>
      <c r="O17" s="191" t="b">
        <f t="shared" si="2"/>
        <v>0</v>
      </c>
      <c r="P17" s="50">
        <v>5000</v>
      </c>
      <c r="Q17" s="190">
        <v>6</v>
      </c>
      <c r="R17" s="191" t="s">
        <v>624</v>
      </c>
      <c r="S17" s="192">
        <v>6</v>
      </c>
      <c r="T17" s="191">
        <v>38000</v>
      </c>
      <c r="U17" s="191">
        <f t="shared" si="3"/>
        <v>7600</v>
      </c>
      <c r="V17" s="50">
        <v>7600</v>
      </c>
      <c r="X17"/>
    </row>
    <row r="18" spans="3:24">
      <c r="C18" s="190">
        <v>7</v>
      </c>
      <c r="D18" s="191" t="s">
        <v>625</v>
      </c>
      <c r="E18" s="192">
        <v>15</v>
      </c>
      <c r="F18" s="191">
        <v>29000</v>
      </c>
      <c r="G18" s="191">
        <f t="shared" si="0"/>
        <v>8700</v>
      </c>
      <c r="H18" s="50">
        <v>8700</v>
      </c>
      <c r="I18" s="190">
        <v>7</v>
      </c>
      <c r="J18" s="191" t="s">
        <v>625</v>
      </c>
      <c r="K18" s="192">
        <v>15</v>
      </c>
      <c r="L18" s="191">
        <v>29000</v>
      </c>
      <c r="M18" s="191" t="s">
        <v>621</v>
      </c>
      <c r="N18" s="191">
        <f t="shared" si="1"/>
        <v>5000</v>
      </c>
      <c r="O18" s="191" t="b">
        <f t="shared" si="2"/>
        <v>0</v>
      </c>
      <c r="P18" s="50">
        <v>5000</v>
      </c>
      <c r="Q18" s="190">
        <v>7</v>
      </c>
      <c r="R18" s="191" t="s">
        <v>625</v>
      </c>
      <c r="S18" s="192">
        <v>15</v>
      </c>
      <c r="T18" s="191">
        <v>29000</v>
      </c>
      <c r="U18" s="191">
        <f t="shared" si="3"/>
        <v>8700</v>
      </c>
      <c r="V18" s="50">
        <v>8700</v>
      </c>
      <c r="X18"/>
    </row>
    <row r="19" spans="3:24">
      <c r="C19" s="190">
        <v>8</v>
      </c>
      <c r="D19" s="191" t="s">
        <v>626</v>
      </c>
      <c r="E19" s="192">
        <v>10</v>
      </c>
      <c r="F19" s="191">
        <v>41000</v>
      </c>
      <c r="G19" s="191">
        <f t="shared" si="0"/>
        <v>12300</v>
      </c>
      <c r="H19" s="50">
        <v>12300</v>
      </c>
      <c r="I19" s="190">
        <v>8</v>
      </c>
      <c r="J19" s="191" t="s">
        <v>626</v>
      </c>
      <c r="K19" s="192">
        <v>10</v>
      </c>
      <c r="L19" s="191">
        <v>41000</v>
      </c>
      <c r="M19" s="191" t="s">
        <v>621</v>
      </c>
      <c r="N19" s="191">
        <f t="shared" si="1"/>
        <v>5000</v>
      </c>
      <c r="O19" s="191" t="b">
        <f t="shared" si="2"/>
        <v>0</v>
      </c>
      <c r="P19" s="50">
        <v>5000</v>
      </c>
      <c r="Q19" s="190">
        <v>8</v>
      </c>
      <c r="R19" s="191" t="s">
        <v>626</v>
      </c>
      <c r="S19" s="192">
        <v>10</v>
      </c>
      <c r="T19" s="191">
        <v>41000</v>
      </c>
      <c r="U19" s="191">
        <f t="shared" si="3"/>
        <v>12300</v>
      </c>
      <c r="V19" s="50">
        <v>12300</v>
      </c>
      <c r="X19"/>
    </row>
    <row r="20" spans="3:24">
      <c r="C20" s="190">
        <v>9</v>
      </c>
      <c r="D20" s="191" t="s">
        <v>627</v>
      </c>
      <c r="E20" s="192">
        <v>8</v>
      </c>
      <c r="F20" s="191">
        <v>52000</v>
      </c>
      <c r="G20" s="191">
        <f t="shared" si="0"/>
        <v>15600</v>
      </c>
      <c r="H20" s="50">
        <v>15600</v>
      </c>
      <c r="I20" s="190">
        <v>9</v>
      </c>
      <c r="J20" s="191" t="s">
        <v>627</v>
      </c>
      <c r="K20" s="192">
        <v>8</v>
      </c>
      <c r="L20" s="191">
        <v>52000</v>
      </c>
      <c r="M20" s="191" t="s">
        <v>618</v>
      </c>
      <c r="N20" s="191">
        <f t="shared" si="1"/>
        <v>15600</v>
      </c>
      <c r="O20" s="191" t="b">
        <f t="shared" si="2"/>
        <v>1</v>
      </c>
      <c r="P20" s="50">
        <v>15600</v>
      </c>
      <c r="Q20" s="190">
        <v>9</v>
      </c>
      <c r="R20" s="191" t="s">
        <v>627</v>
      </c>
      <c r="S20" s="192">
        <v>8</v>
      </c>
      <c r="T20" s="191">
        <v>52000</v>
      </c>
      <c r="U20" s="191">
        <f t="shared" si="3"/>
        <v>10400</v>
      </c>
      <c r="V20" s="50">
        <v>10400</v>
      </c>
      <c r="X20"/>
    </row>
    <row r="21" spans="3:24">
      <c r="C21" s="190">
        <v>10</v>
      </c>
      <c r="D21" s="191" t="s">
        <v>628</v>
      </c>
      <c r="E21" s="192">
        <v>3</v>
      </c>
      <c r="F21" s="191">
        <v>59000</v>
      </c>
      <c r="G21" s="191">
        <f t="shared" si="0"/>
        <v>5000</v>
      </c>
      <c r="H21" s="50">
        <v>5000</v>
      </c>
      <c r="I21" s="190">
        <v>10</v>
      </c>
      <c r="J21" s="191" t="s">
        <v>628</v>
      </c>
      <c r="K21" s="192">
        <v>3</v>
      </c>
      <c r="L21" s="191">
        <v>59000</v>
      </c>
      <c r="M21" s="191" t="s">
        <v>621</v>
      </c>
      <c r="N21" s="191">
        <f t="shared" si="1"/>
        <v>5000</v>
      </c>
      <c r="O21" s="191" t="b">
        <f t="shared" si="2"/>
        <v>0</v>
      </c>
      <c r="P21" s="50">
        <v>5000</v>
      </c>
      <c r="Q21" s="190">
        <v>10</v>
      </c>
      <c r="R21" s="191" t="s">
        <v>628</v>
      </c>
      <c r="S21" s="192">
        <v>3</v>
      </c>
      <c r="T21" s="191">
        <v>59000</v>
      </c>
      <c r="U21" s="191">
        <f t="shared" si="3"/>
        <v>5000</v>
      </c>
      <c r="V21" s="50">
        <v>5000</v>
      </c>
      <c r="X21"/>
    </row>
    <row r="22" spans="3:24">
      <c r="X22"/>
    </row>
    <row r="23" spans="3:24">
      <c r="X23"/>
    </row>
    <row r="24" spans="3:24" ht="16">
      <c r="J24" s="115"/>
      <c r="K24" s="127"/>
      <c r="L24" s="127"/>
      <c r="M24" s="120"/>
      <c r="N24" s="115"/>
      <c r="O24" s="115"/>
    </row>
    <row r="25" spans="3:24" ht="16">
      <c r="J25" s="115"/>
      <c r="K25"/>
      <c r="L25"/>
      <c r="M25"/>
      <c r="N25"/>
      <c r="O25"/>
    </row>
    <row r="26" spans="3:24" ht="16">
      <c r="J26" s="115"/>
      <c r="K26"/>
      <c r="L26"/>
      <c r="M26"/>
      <c r="N26"/>
      <c r="O26"/>
    </row>
    <row r="27" spans="3:24" ht="21">
      <c r="J27" s="115"/>
      <c r="K27" s="27"/>
      <c r="L27"/>
      <c r="M27"/>
      <c r="N27"/>
      <c r="O27"/>
    </row>
    <row r="28" spans="3:24" ht="21">
      <c r="J28" s="115"/>
      <c r="K28"/>
      <c r="L28" s="63"/>
      <c r="M28" s="63"/>
      <c r="N28" s="63"/>
      <c r="O28" s="63"/>
    </row>
    <row r="29" spans="3:24" ht="16">
      <c r="J29" s="115"/>
      <c r="K29" s="127"/>
      <c r="L29" s="127"/>
      <c r="M29" s="120"/>
      <c r="N29" s="115"/>
      <c r="O29" s="115"/>
    </row>
    <row r="30" spans="3:24" ht="16">
      <c r="J30" s="115"/>
      <c r="K30" s="127"/>
      <c r="L30" s="127"/>
      <c r="M30" s="120"/>
      <c r="N30" s="115"/>
      <c r="O30" s="115"/>
    </row>
    <row r="31" spans="3:24" ht="16">
      <c r="J31" s="115"/>
      <c r="K31" s="115"/>
      <c r="L31" s="115"/>
      <c r="M31" s="117"/>
      <c r="N31" s="115"/>
      <c r="O31" s="115"/>
    </row>
    <row r="32" spans="3:24" ht="16">
      <c r="J32" s="115"/>
      <c r="K32" s="115"/>
      <c r="L32" s="115"/>
      <c r="M32" s="117"/>
      <c r="N32" s="115"/>
      <c r="O32" s="115"/>
    </row>
    <row r="33" spans="10:15" ht="16">
      <c r="J33" s="115"/>
      <c r="K33" s="115"/>
      <c r="L33" s="115"/>
      <c r="M33" s="117"/>
      <c r="N33" s="115"/>
      <c r="O33" s="115"/>
    </row>
    <row r="34" spans="10:15" ht="16">
      <c r="J34" s="115"/>
      <c r="K34" s="115"/>
      <c r="L34" s="115"/>
      <c r="M34" s="117"/>
      <c r="N34" s="115"/>
      <c r="O34" s="115"/>
    </row>
  </sheetData>
  <mergeCells count="6">
    <mergeCell ref="D1:G3"/>
    <mergeCell ref="J1:N3"/>
    <mergeCell ref="R1:U3"/>
    <mergeCell ref="D5:G5"/>
    <mergeCell ref="J5:N5"/>
    <mergeCell ref="R5:U5"/>
  </mergeCells>
  <conditionalFormatting sqref="Z5">
    <cfRule type="cellIs" dxfId="63" priority="7" operator="equal">
      <formula>"нет"</formula>
    </cfRule>
    <cfRule type="cellIs" dxfId="62" priority="8" operator="equal">
      <formula>"да"</formula>
    </cfRule>
  </conditionalFormatting>
  <conditionalFormatting sqref="Z6">
    <cfRule type="cellIs" dxfId="61" priority="5" operator="equal">
      <formula>"нет"</formula>
    </cfRule>
    <cfRule type="cellIs" dxfId="60" priority="6" operator="equal">
      <formula>"да"</formula>
    </cfRule>
  </conditionalFormatting>
  <conditionalFormatting sqref="Z7">
    <cfRule type="cellIs" dxfId="59" priority="3" operator="equal">
      <formula>"нет"</formula>
    </cfRule>
    <cfRule type="cellIs" dxfId="58" priority="4" operator="equal">
      <formula>"да"</formula>
    </cfRule>
  </conditionalFormatting>
  <conditionalFormatting sqref="AB9">
    <cfRule type="cellIs" dxfId="57" priority="1" operator="equal">
      <formula>"нет"</formula>
    </cfRule>
    <cfRule type="cellIs" dxfId="56" priority="2" operator="equal">
      <formula>"да"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C00000"/>
  </sheetPr>
  <dimension ref="A1:P51"/>
  <sheetViews>
    <sheetView showGridLines="0" workbookViewId="0">
      <selection activeCell="J3" sqref="J3:J25"/>
    </sheetView>
  </sheetViews>
  <sheetFormatPr baseColWidth="10" defaultColWidth="13.83203125" defaultRowHeight="16"/>
  <cols>
    <col min="1" max="1" width="3.33203125" style="135" bestFit="1" customWidth="1"/>
    <col min="2" max="2" width="31.5" style="135" bestFit="1" customWidth="1"/>
    <col min="3" max="3" width="7.83203125" style="135" bestFit="1" customWidth="1"/>
    <col min="4" max="4" width="8.5" style="135" bestFit="1" customWidth="1"/>
    <col min="5" max="5" width="14.33203125" style="135" customWidth="1"/>
    <col min="6" max="6" width="11.5" style="135" bestFit="1" customWidth="1"/>
    <col min="7" max="7" width="11.5" style="135" customWidth="1"/>
    <col min="8" max="8" width="14.5" style="135" customWidth="1"/>
    <col min="9" max="9" width="8.5" style="135" bestFit="1" customWidth="1"/>
    <col min="10" max="10" width="12" style="135" bestFit="1" customWidth="1"/>
    <col min="11" max="11" width="8.1640625" style="135" customWidth="1"/>
    <col min="12" max="12" width="10.83203125" style="135" bestFit="1" customWidth="1"/>
    <col min="13" max="13" width="13.83203125" style="135"/>
    <col min="14" max="14" width="12" style="135" bestFit="1" customWidth="1"/>
    <col min="15" max="16384" width="13.83203125" style="135"/>
  </cols>
  <sheetData>
    <row r="1" spans="1:16" ht="19">
      <c r="B1" s="116" t="s">
        <v>629</v>
      </c>
      <c r="L1" s="51" t="s">
        <v>59</v>
      </c>
      <c r="M1" s="52"/>
      <c r="N1" s="53" t="s">
        <v>60</v>
      </c>
      <c r="O1" s="52">
        <v>1</v>
      </c>
    </row>
    <row r="2" spans="1:16" ht="48">
      <c r="A2" s="119" t="s">
        <v>80</v>
      </c>
      <c r="B2" s="119" t="s">
        <v>594</v>
      </c>
      <c r="C2" s="119" t="s">
        <v>615</v>
      </c>
      <c r="D2" s="119" t="s">
        <v>630</v>
      </c>
      <c r="E2" s="119" t="s">
        <v>455</v>
      </c>
      <c r="F2" s="119" t="s">
        <v>631</v>
      </c>
      <c r="G2" s="119" t="s">
        <v>1021</v>
      </c>
      <c r="H2" s="119" t="s">
        <v>1022</v>
      </c>
      <c r="I2" s="119" t="s">
        <v>632</v>
      </c>
      <c r="J2" s="119" t="s">
        <v>633</v>
      </c>
      <c r="L2" s="54"/>
      <c r="M2" s="54"/>
      <c r="N2" s="59"/>
      <c r="O2" s="60" t="s">
        <v>893</v>
      </c>
    </row>
    <row r="3" spans="1:16">
      <c r="A3" s="62">
        <v>1</v>
      </c>
      <c r="B3" s="88" t="s">
        <v>456</v>
      </c>
      <c r="C3" s="62">
        <v>7</v>
      </c>
      <c r="D3" s="62">
        <v>1</v>
      </c>
      <c r="E3" s="286">
        <v>58000</v>
      </c>
      <c r="F3" s="62">
        <v>0.8</v>
      </c>
      <c r="G3" s="62">
        <f>IF(D3=4,2000,0)</f>
        <v>0</v>
      </c>
      <c r="H3" s="62">
        <f>IF(D3=1,3000,IF(D3=3,3000,0))</f>
        <v>3000</v>
      </c>
      <c r="I3" s="62">
        <f>IF(AND(C3&gt;5,F3&gt;=0.8),9000,0)</f>
        <v>9000</v>
      </c>
      <c r="J3" s="286">
        <f>IF(C3&gt;10,0.65*E3,IF(C3&lt;5,12000,0.45*E3))</f>
        <v>26100</v>
      </c>
      <c r="L3" s="55" t="s">
        <v>1028</v>
      </c>
      <c r="M3" s="56"/>
      <c r="N3" s="56"/>
      <c r="O3" s="57" t="str">
        <f>IF(SUM(COUNTIF(M8,N8))=1,"ДА","НЕТ")</f>
        <v>ДА</v>
      </c>
    </row>
    <row r="4" spans="1:16">
      <c r="A4" s="62">
        <v>2</v>
      </c>
      <c r="B4" s="88" t="s">
        <v>460</v>
      </c>
      <c r="C4" s="62">
        <v>4</v>
      </c>
      <c r="D4" s="62">
        <v>4</v>
      </c>
      <c r="E4" s="286">
        <v>45000</v>
      </c>
      <c r="F4" s="62">
        <v>0.6</v>
      </c>
      <c r="G4" s="62">
        <f t="shared" ref="G4:G25" si="0">IF(D4=4,2000,0)</f>
        <v>2000</v>
      </c>
      <c r="H4" s="62">
        <f t="shared" ref="H4:H25" si="1">IF(D4=1,3000,IF(D4=3,3000,0))</f>
        <v>0</v>
      </c>
      <c r="I4" s="62">
        <f t="shared" ref="I4:I25" si="2">IF(AND(C4&gt;5,F4&gt;=0.8),9000,0)</f>
        <v>0</v>
      </c>
      <c r="J4" s="286">
        <f t="shared" ref="J4:J25" si="3">IF(C4&gt;10,0.65*E4,IF(C4&lt;5,12000,0.45*E4))</f>
        <v>12000</v>
      </c>
      <c r="L4" s="55" t="s">
        <v>1026</v>
      </c>
      <c r="M4" s="56"/>
      <c r="N4" s="56"/>
      <c r="O4" s="57" t="str">
        <f t="shared" ref="O4:O6" si="4">IF(SUM(COUNTIF(M9,N9))=1,"ДА","НЕТ")</f>
        <v>ДА</v>
      </c>
    </row>
    <row r="5" spans="1:16">
      <c r="A5" s="62">
        <v>3</v>
      </c>
      <c r="B5" s="88" t="s">
        <v>464</v>
      </c>
      <c r="C5" s="62">
        <v>5</v>
      </c>
      <c r="D5" s="62">
        <v>2</v>
      </c>
      <c r="E5" s="286">
        <v>48000</v>
      </c>
      <c r="F5" s="62">
        <v>0.5</v>
      </c>
      <c r="G5" s="62">
        <f t="shared" si="0"/>
        <v>0</v>
      </c>
      <c r="H5" s="62">
        <f t="shared" si="1"/>
        <v>0</v>
      </c>
      <c r="I5" s="62">
        <f t="shared" si="2"/>
        <v>0</v>
      </c>
      <c r="J5" s="286">
        <f t="shared" si="3"/>
        <v>21600</v>
      </c>
      <c r="L5" s="55" t="s">
        <v>1025</v>
      </c>
      <c r="M5" s="56"/>
      <c r="N5" s="56"/>
      <c r="O5" s="57" t="str">
        <f t="shared" si="4"/>
        <v>ДА</v>
      </c>
    </row>
    <row r="6" spans="1:16">
      <c r="A6" s="62">
        <v>4</v>
      </c>
      <c r="B6" s="88" t="s">
        <v>468</v>
      </c>
      <c r="C6" s="62">
        <v>10</v>
      </c>
      <c r="D6" s="62">
        <v>3</v>
      </c>
      <c r="E6" s="286">
        <v>68000</v>
      </c>
      <c r="F6" s="62">
        <v>0.9</v>
      </c>
      <c r="G6" s="62">
        <f t="shared" si="0"/>
        <v>0</v>
      </c>
      <c r="H6" s="62">
        <f t="shared" si="1"/>
        <v>3000</v>
      </c>
      <c r="I6" s="62">
        <f t="shared" si="2"/>
        <v>9000</v>
      </c>
      <c r="J6" s="286">
        <f t="shared" si="3"/>
        <v>30600</v>
      </c>
      <c r="L6" s="55" t="s">
        <v>1027</v>
      </c>
      <c r="M6" s="56"/>
      <c r="N6" s="56"/>
      <c r="O6" s="57" t="str">
        <f t="shared" si="4"/>
        <v>ДА</v>
      </c>
    </row>
    <row r="7" spans="1:16">
      <c r="A7" s="62">
        <v>5</v>
      </c>
      <c r="B7" s="88" t="s">
        <v>471</v>
      </c>
      <c r="C7" s="62">
        <v>12</v>
      </c>
      <c r="D7" s="62">
        <v>4</v>
      </c>
      <c r="E7" s="286">
        <v>73000</v>
      </c>
      <c r="F7" s="62">
        <v>0.9</v>
      </c>
      <c r="G7" s="62">
        <f t="shared" si="0"/>
        <v>2000</v>
      </c>
      <c r="H7" s="62">
        <f t="shared" si="1"/>
        <v>0</v>
      </c>
      <c r="I7" s="62">
        <f t="shared" si="2"/>
        <v>9000</v>
      </c>
      <c r="J7" s="286">
        <f t="shared" si="3"/>
        <v>47450</v>
      </c>
      <c r="L7" s="58" t="s">
        <v>897</v>
      </c>
      <c r="M7" s="59"/>
      <c r="N7" s="59"/>
      <c r="O7" s="60" t="s">
        <v>65</v>
      </c>
      <c r="P7" s="57" t="str">
        <f>IF(COUNTA(O3:O6)=COUNTIF(O3:O6,"ДА"),"ДА","НЕТ")</f>
        <v>ДА</v>
      </c>
    </row>
    <row r="8" spans="1:16">
      <c r="A8" s="62">
        <v>6</v>
      </c>
      <c r="B8" s="88" t="s">
        <v>634</v>
      </c>
      <c r="C8" s="62">
        <v>8</v>
      </c>
      <c r="D8" s="62">
        <v>3</v>
      </c>
      <c r="E8" s="286">
        <v>78000</v>
      </c>
      <c r="F8" s="62">
        <v>0.7</v>
      </c>
      <c r="G8" s="62">
        <f t="shared" si="0"/>
        <v>0</v>
      </c>
      <c r="H8" s="62">
        <f t="shared" si="1"/>
        <v>3000</v>
      </c>
      <c r="I8" s="62">
        <f t="shared" si="2"/>
        <v>0</v>
      </c>
      <c r="J8" s="286">
        <f t="shared" si="3"/>
        <v>35100</v>
      </c>
      <c r="L8" s="119" t="s">
        <v>1023</v>
      </c>
      <c r="M8" s="286">
        <f>SUM(G3:G25)</f>
        <v>12000</v>
      </c>
      <c r="N8" s="287">
        <v>12000</v>
      </c>
    </row>
    <row r="9" spans="1:16">
      <c r="A9" s="62">
        <v>7</v>
      </c>
      <c r="B9" s="88" t="s">
        <v>474</v>
      </c>
      <c r="C9" s="62">
        <v>3</v>
      </c>
      <c r="D9" s="62">
        <v>2</v>
      </c>
      <c r="E9" s="286">
        <v>36000</v>
      </c>
      <c r="F9" s="62">
        <v>0.7</v>
      </c>
      <c r="G9" s="62">
        <f t="shared" si="0"/>
        <v>0</v>
      </c>
      <c r="H9" s="62">
        <f t="shared" si="1"/>
        <v>0</v>
      </c>
      <c r="I9" s="62">
        <f t="shared" si="2"/>
        <v>0</v>
      </c>
      <c r="J9" s="286">
        <f t="shared" si="3"/>
        <v>12000</v>
      </c>
      <c r="L9" s="119" t="s">
        <v>1024</v>
      </c>
      <c r="M9" s="286">
        <f>SUM(H3:H25)</f>
        <v>36000</v>
      </c>
      <c r="N9" s="287">
        <v>36000</v>
      </c>
    </row>
    <row r="10" spans="1:16">
      <c r="A10" s="62">
        <v>8</v>
      </c>
      <c r="B10" s="88" t="s">
        <v>477</v>
      </c>
      <c r="C10" s="62">
        <v>11</v>
      </c>
      <c r="D10" s="62">
        <v>3</v>
      </c>
      <c r="E10" s="286">
        <v>48000</v>
      </c>
      <c r="F10" s="62">
        <v>1</v>
      </c>
      <c r="G10" s="62">
        <f t="shared" si="0"/>
        <v>0</v>
      </c>
      <c r="H10" s="62">
        <f t="shared" si="1"/>
        <v>3000</v>
      </c>
      <c r="I10" s="62">
        <f t="shared" si="2"/>
        <v>9000</v>
      </c>
      <c r="J10" s="286">
        <f t="shared" si="3"/>
        <v>31200</v>
      </c>
      <c r="L10" s="119" t="s">
        <v>632</v>
      </c>
      <c r="M10" s="286">
        <f>SUM(I3:I25)</f>
        <v>90000</v>
      </c>
      <c r="N10" s="287">
        <v>90000</v>
      </c>
    </row>
    <row r="11" spans="1:16">
      <c r="A11" s="62">
        <v>9</v>
      </c>
      <c r="B11" s="88" t="s">
        <v>635</v>
      </c>
      <c r="C11" s="62">
        <v>8</v>
      </c>
      <c r="D11" s="62">
        <v>1</v>
      </c>
      <c r="E11" s="286">
        <v>53000</v>
      </c>
      <c r="F11" s="62">
        <v>0.6</v>
      </c>
      <c r="G11" s="62">
        <f t="shared" si="0"/>
        <v>0</v>
      </c>
      <c r="H11" s="62">
        <f t="shared" si="1"/>
        <v>3000</v>
      </c>
      <c r="I11" s="62">
        <f t="shared" si="2"/>
        <v>0</v>
      </c>
      <c r="J11" s="286">
        <f t="shared" si="3"/>
        <v>23850</v>
      </c>
      <c r="L11" s="119" t="s">
        <v>633</v>
      </c>
      <c r="M11" s="286">
        <f>SUM(J3:J25)</f>
        <v>567700</v>
      </c>
      <c r="N11" s="287">
        <v>567700</v>
      </c>
    </row>
    <row r="12" spans="1:16">
      <c r="A12" s="62">
        <v>10</v>
      </c>
      <c r="B12" s="88" t="s">
        <v>636</v>
      </c>
      <c r="C12" s="62">
        <v>6</v>
      </c>
      <c r="D12" s="62">
        <v>4</v>
      </c>
      <c r="E12" s="286">
        <v>63000</v>
      </c>
      <c r="F12" s="62">
        <v>0.8</v>
      </c>
      <c r="G12" s="62">
        <f t="shared" si="0"/>
        <v>2000</v>
      </c>
      <c r="H12" s="62">
        <f t="shared" si="1"/>
        <v>0</v>
      </c>
      <c r="I12" s="62">
        <f t="shared" si="2"/>
        <v>9000</v>
      </c>
      <c r="J12" s="286">
        <f t="shared" si="3"/>
        <v>28350</v>
      </c>
    </row>
    <row r="13" spans="1:16">
      <c r="A13" s="62">
        <v>11</v>
      </c>
      <c r="B13" s="88" t="s">
        <v>637</v>
      </c>
      <c r="C13" s="62">
        <v>3</v>
      </c>
      <c r="D13" s="62">
        <v>2</v>
      </c>
      <c r="E13" s="286">
        <v>51000</v>
      </c>
      <c r="F13" s="62">
        <v>0.5</v>
      </c>
      <c r="G13" s="62">
        <f t="shared" si="0"/>
        <v>0</v>
      </c>
      <c r="H13" s="62">
        <f t="shared" si="1"/>
        <v>0</v>
      </c>
      <c r="I13" s="62">
        <f t="shared" si="2"/>
        <v>0</v>
      </c>
      <c r="J13" s="286">
        <f t="shared" si="3"/>
        <v>12000</v>
      </c>
    </row>
    <row r="14" spans="1:16">
      <c r="A14" s="62">
        <v>12</v>
      </c>
      <c r="B14" s="88" t="s">
        <v>638</v>
      </c>
      <c r="C14" s="62">
        <v>2</v>
      </c>
      <c r="D14" s="62">
        <v>1</v>
      </c>
      <c r="E14" s="286">
        <v>38000</v>
      </c>
      <c r="F14" s="62">
        <v>0.8</v>
      </c>
      <c r="G14" s="62">
        <f t="shared" si="0"/>
        <v>0</v>
      </c>
      <c r="H14" s="62">
        <f t="shared" si="1"/>
        <v>3000</v>
      </c>
      <c r="I14" s="62">
        <f t="shared" si="2"/>
        <v>0</v>
      </c>
      <c r="J14" s="286">
        <f t="shared" si="3"/>
        <v>12000</v>
      </c>
    </row>
    <row r="15" spans="1:16">
      <c r="A15" s="62">
        <v>13</v>
      </c>
      <c r="B15" s="88" t="s">
        <v>639</v>
      </c>
      <c r="C15" s="62">
        <v>1</v>
      </c>
      <c r="D15" s="62">
        <v>4</v>
      </c>
      <c r="E15" s="286">
        <v>43000</v>
      </c>
      <c r="F15" s="62">
        <v>0.7</v>
      </c>
      <c r="G15" s="62">
        <f t="shared" si="0"/>
        <v>2000</v>
      </c>
      <c r="H15" s="62">
        <f t="shared" si="1"/>
        <v>0</v>
      </c>
      <c r="I15" s="62">
        <f t="shared" si="2"/>
        <v>0</v>
      </c>
      <c r="J15" s="286">
        <f t="shared" si="3"/>
        <v>12000</v>
      </c>
    </row>
    <row r="16" spans="1:16">
      <c r="A16" s="62">
        <v>14</v>
      </c>
      <c r="B16" s="88" t="s">
        <v>640</v>
      </c>
      <c r="C16" s="62">
        <v>5</v>
      </c>
      <c r="D16" s="62">
        <v>1</v>
      </c>
      <c r="E16" s="286">
        <v>58000</v>
      </c>
      <c r="F16" s="62">
        <v>0.8</v>
      </c>
      <c r="G16" s="62">
        <f t="shared" si="0"/>
        <v>0</v>
      </c>
      <c r="H16" s="62">
        <f t="shared" si="1"/>
        <v>3000</v>
      </c>
      <c r="I16" s="62">
        <f t="shared" si="2"/>
        <v>0</v>
      </c>
      <c r="J16" s="286">
        <f t="shared" si="3"/>
        <v>26100</v>
      </c>
    </row>
    <row r="17" spans="1:13">
      <c r="A17" s="62">
        <v>15</v>
      </c>
      <c r="B17" s="88" t="s">
        <v>641</v>
      </c>
      <c r="C17" s="62">
        <v>6</v>
      </c>
      <c r="D17" s="62">
        <v>2</v>
      </c>
      <c r="E17" s="286">
        <v>39000</v>
      </c>
      <c r="F17" s="62">
        <v>0.9</v>
      </c>
      <c r="G17" s="62">
        <f t="shared" si="0"/>
        <v>0</v>
      </c>
      <c r="H17" s="62">
        <f t="shared" si="1"/>
        <v>0</v>
      </c>
      <c r="I17" s="62">
        <f t="shared" si="2"/>
        <v>9000</v>
      </c>
      <c r="J17" s="286">
        <f t="shared" si="3"/>
        <v>17550</v>
      </c>
    </row>
    <row r="18" spans="1:13">
      <c r="A18" s="62">
        <v>16</v>
      </c>
      <c r="B18" s="88" t="s">
        <v>642</v>
      </c>
      <c r="C18" s="62">
        <v>9</v>
      </c>
      <c r="D18" s="62">
        <v>4</v>
      </c>
      <c r="E18" s="286">
        <v>61000</v>
      </c>
      <c r="F18" s="62">
        <v>0.9</v>
      </c>
      <c r="G18" s="62">
        <f t="shared" si="0"/>
        <v>2000</v>
      </c>
      <c r="H18" s="62">
        <f t="shared" si="1"/>
        <v>0</v>
      </c>
      <c r="I18" s="62">
        <f t="shared" si="2"/>
        <v>9000</v>
      </c>
      <c r="J18" s="286">
        <f t="shared" si="3"/>
        <v>27450</v>
      </c>
    </row>
    <row r="19" spans="1:13">
      <c r="A19" s="62">
        <v>17</v>
      </c>
      <c r="B19" s="88" t="s">
        <v>643</v>
      </c>
      <c r="C19" s="62">
        <v>10</v>
      </c>
      <c r="D19" s="62">
        <v>1</v>
      </c>
      <c r="E19" s="286">
        <v>52000</v>
      </c>
      <c r="F19" s="62">
        <v>0.8</v>
      </c>
      <c r="G19" s="62">
        <f t="shared" si="0"/>
        <v>0</v>
      </c>
      <c r="H19" s="62">
        <f t="shared" si="1"/>
        <v>3000</v>
      </c>
      <c r="I19" s="62">
        <f t="shared" si="2"/>
        <v>9000</v>
      </c>
      <c r="J19" s="286">
        <f t="shared" si="3"/>
        <v>23400</v>
      </c>
    </row>
    <row r="20" spans="1:13">
      <c r="A20" s="62">
        <v>18</v>
      </c>
      <c r="B20" s="88" t="s">
        <v>644</v>
      </c>
      <c r="C20" s="62">
        <v>11</v>
      </c>
      <c r="D20" s="62">
        <v>3</v>
      </c>
      <c r="E20" s="286">
        <v>58000</v>
      </c>
      <c r="F20" s="62">
        <v>0.9</v>
      </c>
      <c r="G20" s="62">
        <f t="shared" si="0"/>
        <v>0</v>
      </c>
      <c r="H20" s="62">
        <f t="shared" si="1"/>
        <v>3000</v>
      </c>
      <c r="I20" s="62">
        <f t="shared" si="2"/>
        <v>9000</v>
      </c>
      <c r="J20" s="286">
        <f t="shared" si="3"/>
        <v>37700</v>
      </c>
    </row>
    <row r="21" spans="1:13">
      <c r="A21" s="62">
        <v>19</v>
      </c>
      <c r="B21" s="88" t="s">
        <v>494</v>
      </c>
      <c r="C21" s="62">
        <v>13</v>
      </c>
      <c r="D21" s="62">
        <v>2</v>
      </c>
      <c r="E21" s="286">
        <v>69000</v>
      </c>
      <c r="F21" s="62">
        <v>0.8</v>
      </c>
      <c r="G21" s="62">
        <f t="shared" si="0"/>
        <v>0</v>
      </c>
      <c r="H21" s="62">
        <f t="shared" si="1"/>
        <v>0</v>
      </c>
      <c r="I21" s="62">
        <f t="shared" si="2"/>
        <v>9000</v>
      </c>
      <c r="J21" s="286">
        <f t="shared" si="3"/>
        <v>44850</v>
      </c>
    </row>
    <row r="22" spans="1:13">
      <c r="A22" s="62">
        <v>20</v>
      </c>
      <c r="B22" s="88" t="s">
        <v>645</v>
      </c>
      <c r="C22" s="62">
        <v>8</v>
      </c>
      <c r="D22" s="62">
        <v>3</v>
      </c>
      <c r="E22" s="286">
        <v>55000</v>
      </c>
      <c r="F22" s="62">
        <v>0.7</v>
      </c>
      <c r="G22" s="62">
        <f t="shared" si="0"/>
        <v>0</v>
      </c>
      <c r="H22" s="62">
        <f t="shared" si="1"/>
        <v>3000</v>
      </c>
      <c r="I22" s="62">
        <f t="shared" si="2"/>
        <v>0</v>
      </c>
      <c r="J22" s="286">
        <f t="shared" si="3"/>
        <v>24750</v>
      </c>
    </row>
    <row r="23" spans="1:13">
      <c r="A23" s="62">
        <v>21</v>
      </c>
      <c r="B23" s="88" t="s">
        <v>495</v>
      </c>
      <c r="C23" s="62">
        <v>5</v>
      </c>
      <c r="D23" s="62">
        <v>4</v>
      </c>
      <c r="E23" s="286">
        <v>47000</v>
      </c>
      <c r="F23" s="62">
        <v>0.6</v>
      </c>
      <c r="G23" s="62">
        <f t="shared" si="0"/>
        <v>2000</v>
      </c>
      <c r="H23" s="62">
        <f t="shared" si="1"/>
        <v>0</v>
      </c>
      <c r="I23" s="62">
        <f t="shared" si="2"/>
        <v>0</v>
      </c>
      <c r="J23" s="286">
        <f t="shared" si="3"/>
        <v>21150</v>
      </c>
    </row>
    <row r="24" spans="1:13">
      <c r="A24" s="62">
        <v>22</v>
      </c>
      <c r="B24" s="88" t="s">
        <v>496</v>
      </c>
      <c r="C24" s="62">
        <v>6</v>
      </c>
      <c r="D24" s="62">
        <v>3</v>
      </c>
      <c r="E24" s="286">
        <v>33000</v>
      </c>
      <c r="F24" s="62">
        <v>0.7</v>
      </c>
      <c r="G24" s="62">
        <f t="shared" si="0"/>
        <v>0</v>
      </c>
      <c r="H24" s="62">
        <f t="shared" si="1"/>
        <v>3000</v>
      </c>
      <c r="I24" s="62">
        <f t="shared" si="2"/>
        <v>0</v>
      </c>
      <c r="J24" s="286">
        <f t="shared" si="3"/>
        <v>14850</v>
      </c>
    </row>
    <row r="25" spans="1:13">
      <c r="A25" s="62">
        <v>23</v>
      </c>
      <c r="B25" s="88" t="s">
        <v>497</v>
      </c>
      <c r="C25" s="62">
        <v>7</v>
      </c>
      <c r="D25" s="62">
        <v>1</v>
      </c>
      <c r="E25" s="286">
        <v>57000</v>
      </c>
      <c r="F25" s="62">
        <v>0.5</v>
      </c>
      <c r="G25" s="62">
        <f t="shared" si="0"/>
        <v>0</v>
      </c>
      <c r="H25" s="62">
        <f t="shared" si="1"/>
        <v>3000</v>
      </c>
      <c r="I25" s="62">
        <f t="shared" si="2"/>
        <v>0</v>
      </c>
      <c r="J25" s="286">
        <f t="shared" si="3"/>
        <v>25650</v>
      </c>
    </row>
    <row r="27" spans="1:13">
      <c r="A27"/>
      <c r="B27"/>
      <c r="C27"/>
      <c r="D27" s="166"/>
      <c r="E27" s="166"/>
      <c r="F27" s="166"/>
      <c r="G27" s="166"/>
      <c r="H27" s="166"/>
      <c r="I27" s="166"/>
      <c r="J27" s="166"/>
    </row>
    <row r="28" spans="1:13">
      <c r="A28"/>
      <c r="B28"/>
      <c r="C28"/>
      <c r="D28" s="166"/>
      <c r="E28" s="166"/>
      <c r="F28" s="166"/>
      <c r="G28" s="166"/>
      <c r="H28" s="166"/>
      <c r="I28" s="166"/>
      <c r="J28" s="166"/>
      <c r="L28"/>
      <c r="M28"/>
    </row>
    <row r="29" spans="1:13">
      <c r="A29"/>
      <c r="B29"/>
      <c r="D29" s="166"/>
      <c r="E29" s="115"/>
      <c r="F29" s="127"/>
      <c r="G29" s="127"/>
      <c r="H29" s="120"/>
      <c r="I29" s="115"/>
      <c r="J29" s="115"/>
      <c r="L29"/>
      <c r="M29"/>
    </row>
    <row r="30" spans="1:13">
      <c r="A30"/>
      <c r="B30"/>
      <c r="D30" s="166"/>
      <c r="E30" s="115"/>
      <c r="F30"/>
      <c r="G30"/>
      <c r="H30"/>
      <c r="I30"/>
      <c r="J30"/>
      <c r="L30"/>
      <c r="M30"/>
    </row>
    <row r="31" spans="1:13">
      <c r="A31"/>
      <c r="B31"/>
      <c r="D31" s="166"/>
      <c r="E31" s="115"/>
      <c r="F31"/>
      <c r="G31"/>
      <c r="H31"/>
      <c r="I31"/>
      <c r="J31"/>
      <c r="L31"/>
      <c r="M31"/>
    </row>
    <row r="32" spans="1:13" ht="21">
      <c r="A32"/>
      <c r="B32"/>
      <c r="D32" s="166"/>
      <c r="E32" s="115"/>
      <c r="F32" s="27"/>
      <c r="G32"/>
      <c r="H32"/>
      <c r="I32"/>
      <c r="J32"/>
      <c r="L32"/>
      <c r="M32"/>
    </row>
    <row r="33" spans="1:13" ht="21">
      <c r="A33"/>
      <c r="B33"/>
      <c r="D33" s="166"/>
      <c r="E33" s="115"/>
      <c r="F33"/>
      <c r="G33" s="63"/>
      <c r="H33" s="63"/>
      <c r="I33" s="63"/>
      <c r="J33" s="63"/>
      <c r="L33"/>
      <c r="M33"/>
    </row>
    <row r="34" spans="1:13">
      <c r="A34"/>
      <c r="B34"/>
      <c r="D34" s="166"/>
      <c r="E34" s="115"/>
      <c r="F34" s="127"/>
      <c r="G34" s="127"/>
      <c r="H34" s="120"/>
      <c r="I34" s="115"/>
      <c r="J34" s="115"/>
      <c r="L34"/>
      <c r="M34"/>
    </row>
    <row r="35" spans="1:13">
      <c r="A35"/>
      <c r="B35"/>
      <c r="D35" s="166"/>
      <c r="E35" s="115"/>
      <c r="F35" s="127"/>
      <c r="G35" s="127"/>
      <c r="H35" s="120"/>
      <c r="I35" s="115"/>
      <c r="J35" s="115"/>
      <c r="L35"/>
      <c r="M35"/>
    </row>
    <row r="36" spans="1:13">
      <c r="A36"/>
      <c r="B36"/>
      <c r="D36" s="166"/>
      <c r="E36" s="115"/>
      <c r="F36" s="115"/>
      <c r="G36" s="115"/>
      <c r="H36" s="117"/>
      <c r="I36" s="115"/>
      <c r="J36" s="115"/>
      <c r="L36"/>
      <c r="M36"/>
    </row>
    <row r="37" spans="1:13">
      <c r="A37"/>
      <c r="B37"/>
      <c r="D37" s="166"/>
      <c r="E37" s="115"/>
      <c r="F37" s="115"/>
      <c r="G37" s="115"/>
      <c r="H37" s="117"/>
      <c r="I37" s="115"/>
      <c r="J37" s="115"/>
      <c r="L37"/>
      <c r="M37"/>
    </row>
    <row r="38" spans="1:13">
      <c r="A38"/>
      <c r="B38"/>
      <c r="D38" s="166"/>
      <c r="E38" s="115"/>
      <c r="F38" s="115"/>
      <c r="G38" s="115"/>
      <c r="H38" s="117"/>
      <c r="I38" s="115"/>
      <c r="J38" s="115"/>
      <c r="L38"/>
      <c r="M38"/>
    </row>
    <row r="39" spans="1:13">
      <c r="A39" s="166"/>
      <c r="D39" s="166"/>
      <c r="E39" s="115"/>
      <c r="F39" s="115"/>
      <c r="G39" s="115"/>
      <c r="H39" s="117"/>
      <c r="I39" s="115"/>
      <c r="J39" s="115"/>
      <c r="L39"/>
      <c r="M39"/>
    </row>
    <row r="40" spans="1:13">
      <c r="A40" s="166"/>
      <c r="D40" s="166"/>
      <c r="E40" s="166"/>
      <c r="F40" s="166"/>
      <c r="G40" s="166"/>
      <c r="H40" s="166"/>
      <c r="I40" s="166"/>
      <c r="J40" s="166"/>
    </row>
    <row r="41" spans="1:13">
      <c r="A41" s="166"/>
    </row>
    <row r="42" spans="1:13">
      <c r="A42" s="166"/>
    </row>
    <row r="43" spans="1:13">
      <c r="A43" s="166"/>
    </row>
    <row r="44" spans="1:13">
      <c r="A44" s="166"/>
    </row>
    <row r="45" spans="1:13">
      <c r="A45" s="166"/>
    </row>
    <row r="46" spans="1:13">
      <c r="A46" s="166"/>
    </row>
    <row r="47" spans="1:13">
      <c r="A47" s="166"/>
    </row>
    <row r="48" spans="1:13">
      <c r="A48" s="166"/>
    </row>
    <row r="49" spans="1:9">
      <c r="A49" s="166"/>
      <c r="B49" s="166"/>
      <c r="C49" s="166"/>
      <c r="D49" s="166"/>
      <c r="E49" s="166"/>
      <c r="F49" s="166"/>
      <c r="G49" s="166"/>
      <c r="H49" s="166"/>
      <c r="I49" s="166"/>
    </row>
    <row r="50" spans="1:9">
      <c r="A50" s="166"/>
      <c r="B50" s="166"/>
      <c r="C50" s="166"/>
      <c r="D50" s="166"/>
      <c r="E50" s="166"/>
      <c r="F50" s="166"/>
      <c r="G50" s="166"/>
      <c r="H50" s="166"/>
      <c r="I50" s="166"/>
    </row>
    <row r="51" spans="1:9">
      <c r="A51" s="166"/>
      <c r="B51" s="166"/>
      <c r="C51" s="166"/>
      <c r="D51" s="166"/>
      <c r="E51" s="166"/>
      <c r="F51" s="166"/>
      <c r="G51" s="166"/>
      <c r="H51" s="166"/>
      <c r="I51" s="166"/>
    </row>
  </sheetData>
  <conditionalFormatting sqref="O3:O6">
    <cfRule type="cellIs" dxfId="55" priority="9" operator="equal">
      <formula>"нет"</formula>
    </cfRule>
    <cfRule type="cellIs" dxfId="54" priority="10" operator="equal">
      <formula>"да"</formula>
    </cfRule>
  </conditionalFormatting>
  <conditionalFormatting sqref="P7">
    <cfRule type="cellIs" dxfId="53" priority="5" operator="equal">
      <formula>"нет"</formula>
    </cfRule>
    <cfRule type="cellIs" dxfId="52" priority="6" operator="equal">
      <formula>"да"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4" tint="0.59999389629810485"/>
  </sheetPr>
  <dimension ref="A1:K27"/>
  <sheetViews>
    <sheetView zoomScale="115" zoomScaleNormal="115" workbookViewId="0">
      <selection activeCell="A19" sqref="A19"/>
    </sheetView>
  </sheetViews>
  <sheetFormatPr baseColWidth="10" defaultColWidth="8.83203125" defaultRowHeight="15"/>
  <cols>
    <col min="1" max="1" width="17.6640625" bestFit="1" customWidth="1"/>
    <col min="2" max="2" width="6" customWidth="1"/>
    <col min="3" max="3" width="17" customWidth="1"/>
    <col min="4" max="4" width="15" customWidth="1"/>
    <col min="5" max="5" width="17.5" customWidth="1"/>
    <col min="6" max="6" width="5.83203125" customWidth="1"/>
    <col min="7" max="7" width="26.1640625" bestFit="1" customWidth="1"/>
  </cols>
  <sheetData>
    <row r="1" spans="1:11" ht="19">
      <c r="C1" s="429" t="s">
        <v>646</v>
      </c>
      <c r="D1" s="429"/>
      <c r="E1" s="429"/>
      <c r="G1" s="193" t="s">
        <v>647</v>
      </c>
    </row>
    <row r="2" spans="1:11">
      <c r="A2" s="130" t="s">
        <v>648</v>
      </c>
      <c r="C2" s="88" t="s">
        <v>649</v>
      </c>
      <c r="D2" s="88">
        <v>2017</v>
      </c>
      <c r="E2" s="88" t="s">
        <v>650</v>
      </c>
      <c r="G2" s="17" t="str">
        <f>CONCATENATE(C2,D2,E2)</f>
        <v>mos2017VER</v>
      </c>
    </row>
    <row r="3" spans="1:11">
      <c r="A3" s="130" t="s">
        <v>651</v>
      </c>
      <c r="C3" s="428" t="s">
        <v>652</v>
      </c>
      <c r="D3" s="428"/>
      <c r="E3" s="428"/>
      <c r="G3" s="17" t="str">
        <f>TRIM(C3)</f>
        <v>Очень Много Пробелов</v>
      </c>
    </row>
    <row r="4" spans="1:11">
      <c r="A4" s="130" t="s">
        <v>653</v>
      </c>
      <c r="C4" s="428" t="s">
        <v>962</v>
      </c>
      <c r="D4" s="428"/>
      <c r="E4" s="428"/>
      <c r="G4" s="17" t="str">
        <f>UPPER(C4)</f>
        <v>ВСЁ БОЛЬШИМИ БУКВАМИ</v>
      </c>
    </row>
    <row r="5" spans="1:11">
      <c r="A5" s="130" t="s">
        <v>654</v>
      </c>
      <c r="C5" s="428" t="s">
        <v>963</v>
      </c>
      <c r="D5" s="428"/>
      <c r="E5" s="428"/>
      <c r="G5" s="17" t="str">
        <f>LOWER(C5)</f>
        <v>всё маленькими буквами</v>
      </c>
    </row>
    <row r="6" spans="1:11">
      <c r="A6" s="130" t="s">
        <v>655</v>
      </c>
      <c r="C6" s="428" t="s">
        <v>656</v>
      </c>
      <c r="D6" s="428"/>
      <c r="E6" s="428"/>
      <c r="G6" s="17" t="str">
        <f>PROPER(C6)</f>
        <v>Первая Буква Заглавная</v>
      </c>
    </row>
    <row r="7" spans="1:11">
      <c r="A7" s="130" t="s">
        <v>657</v>
      </c>
      <c r="C7" s="428" t="s">
        <v>658</v>
      </c>
      <c r="D7" s="428"/>
      <c r="E7" s="428"/>
      <c r="G7" s="17" t="str">
        <f>LEFT(C7,3)</f>
        <v>mos</v>
      </c>
    </row>
    <row r="8" spans="1:11">
      <c r="A8" s="130" t="s">
        <v>659</v>
      </c>
      <c r="C8" s="428" t="s">
        <v>658</v>
      </c>
      <c r="D8" s="428"/>
      <c r="E8" s="428"/>
      <c r="G8" s="17" t="str">
        <f>RIGHT(C8,3)</f>
        <v>VER</v>
      </c>
    </row>
    <row r="9" spans="1:11">
      <c r="A9" s="130" t="s">
        <v>660</v>
      </c>
      <c r="C9" s="428" t="s">
        <v>658</v>
      </c>
      <c r="D9" s="428"/>
      <c r="E9" s="428"/>
      <c r="G9" s="17" t="str">
        <f>MID(C9,4,3)</f>
        <v>123</v>
      </c>
    </row>
    <row r="12" spans="1:11">
      <c r="C12" s="427"/>
      <c r="D12" s="427"/>
      <c r="E12" s="427"/>
      <c r="F12" s="427"/>
      <c r="G12" s="427"/>
      <c r="H12" s="427"/>
      <c r="I12" s="247"/>
      <c r="J12" s="247"/>
      <c r="K12" s="246"/>
    </row>
    <row r="13" spans="1:11">
      <c r="C13" s="427"/>
      <c r="D13" s="427"/>
      <c r="E13" s="427"/>
      <c r="F13" s="427"/>
      <c r="G13" s="427"/>
      <c r="H13" s="427"/>
      <c r="I13" s="247"/>
      <c r="J13" s="247"/>
      <c r="K13" s="246"/>
    </row>
    <row r="14" spans="1:11">
      <c r="C14" s="427"/>
      <c r="D14" s="427"/>
      <c r="E14" s="427"/>
      <c r="F14" s="427"/>
      <c r="G14" s="427"/>
      <c r="H14" s="427"/>
      <c r="I14" s="247"/>
      <c r="J14" s="247"/>
      <c r="K14" s="246"/>
    </row>
    <row r="15" spans="1:11">
      <c r="C15" s="427"/>
      <c r="D15" s="427"/>
      <c r="E15" s="427"/>
      <c r="F15" s="427"/>
      <c r="G15" s="427"/>
      <c r="H15" s="427"/>
      <c r="I15" s="247"/>
      <c r="J15" s="247"/>
      <c r="K15" s="246"/>
    </row>
    <row r="16" spans="1:11">
      <c r="C16" s="427"/>
      <c r="D16" s="427"/>
      <c r="E16" s="427"/>
      <c r="F16" s="427"/>
      <c r="G16" s="427"/>
      <c r="H16" s="427"/>
      <c r="I16" s="247"/>
      <c r="J16" s="247"/>
      <c r="K16" s="246"/>
    </row>
    <row r="17" spans="3:11">
      <c r="C17" s="427"/>
      <c r="D17" s="427"/>
      <c r="E17" s="427"/>
      <c r="F17" s="427"/>
      <c r="G17" s="427"/>
      <c r="H17" s="427"/>
      <c r="I17" s="247"/>
      <c r="J17" s="247"/>
      <c r="K17" s="246"/>
    </row>
    <row r="18" spans="3:11">
      <c r="C18" s="427"/>
      <c r="D18" s="427"/>
      <c r="E18" s="427"/>
      <c r="F18" s="427"/>
      <c r="G18" s="427"/>
      <c r="H18" s="427"/>
      <c r="I18" s="247"/>
      <c r="J18" s="247"/>
      <c r="K18" s="246"/>
    </row>
    <row r="19" spans="3:11">
      <c r="C19" s="427"/>
      <c r="D19" s="427"/>
      <c r="E19" s="427"/>
      <c r="F19" s="427"/>
      <c r="G19" s="427"/>
      <c r="H19" s="427"/>
      <c r="I19" s="247"/>
      <c r="J19" s="247"/>
      <c r="K19" s="246"/>
    </row>
    <row r="20" spans="3:11">
      <c r="C20" s="427"/>
      <c r="D20" s="427"/>
      <c r="E20" s="427"/>
      <c r="F20" s="427"/>
      <c r="G20" s="427"/>
      <c r="H20" s="427"/>
      <c r="I20" s="247"/>
      <c r="J20" s="247"/>
      <c r="K20" s="246"/>
    </row>
    <row r="21" spans="3:11">
      <c r="C21" s="427"/>
      <c r="D21" s="427"/>
      <c r="E21" s="427"/>
      <c r="F21" s="427"/>
      <c r="G21" s="427"/>
      <c r="H21" s="427"/>
      <c r="I21" s="247"/>
      <c r="J21" s="247"/>
      <c r="K21" s="246"/>
    </row>
    <row r="22" spans="3:11">
      <c r="C22" s="427"/>
      <c r="D22" s="427"/>
      <c r="E22" s="427"/>
      <c r="F22" s="427"/>
      <c r="G22" s="427"/>
      <c r="H22" s="427"/>
      <c r="I22" s="247"/>
      <c r="J22" s="247"/>
      <c r="K22" s="246"/>
    </row>
    <row r="23" spans="3:11">
      <c r="C23" s="427"/>
      <c r="D23" s="427"/>
      <c r="E23" s="427"/>
      <c r="F23" s="427"/>
      <c r="G23" s="427"/>
      <c r="H23" s="427"/>
      <c r="I23" s="247"/>
      <c r="J23" s="247"/>
      <c r="K23" s="246"/>
    </row>
    <row r="24" spans="3:11">
      <c r="C24" s="427"/>
      <c r="D24" s="427"/>
      <c r="E24" s="427"/>
      <c r="F24" s="427"/>
      <c r="G24" s="427"/>
      <c r="H24" s="427"/>
      <c r="I24" s="247"/>
      <c r="J24" s="247"/>
      <c r="K24" s="246"/>
    </row>
    <row r="27" spans="3:11" ht="16">
      <c r="C27" s="58" t="s">
        <v>390</v>
      </c>
      <c r="D27" s="59"/>
      <c r="E27" s="59"/>
      <c r="F27" s="59"/>
      <c r="G27" s="60" t="s">
        <v>65</v>
      </c>
      <c r="H27" s="57" t="str">
        <f>IF(COUNTA(СЦЕП!H3,СжПРОБ!J3,РЕГИСТР!D28,Л_П_СИМВ_ПСТР!K3,ТекстПоСтолбцам!O6,МЗ!J19)=COUNTIF(СЦЕП!H3,"ДА")+COUNTIF(СжПРОБ!J3,"ДА")+COUNTIF(РЕГИСТР!D28,"ДА")+COUNTIF(Л_П_СИМВ_ПСТР!K3,"ДА")+COUNTIF(ТекстПоСтолбцам!O6,"ДА")+COUNTIF(МЗ!J19,"ДА"),"ДА","НЕТ")</f>
        <v>ДА</v>
      </c>
    </row>
  </sheetData>
  <mergeCells count="9">
    <mergeCell ref="C12:H24"/>
    <mergeCell ref="C8:E8"/>
    <mergeCell ref="C9:E9"/>
    <mergeCell ref="C1:E1"/>
    <mergeCell ref="C3:E3"/>
    <mergeCell ref="C4:E4"/>
    <mergeCell ref="C5:E5"/>
    <mergeCell ref="C6:E6"/>
    <mergeCell ref="C7:E7"/>
  </mergeCells>
  <conditionalFormatting sqref="H27">
    <cfRule type="cellIs" dxfId="51" priority="1" operator="equal">
      <formula>"нет"</formula>
    </cfRule>
    <cfRule type="cellIs" dxfId="50" priority="2" operator="equal">
      <formula>"да"</formula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9"/>
  </sheetPr>
  <dimension ref="A1:H26"/>
  <sheetViews>
    <sheetView showGridLines="0" zoomScale="145" zoomScaleNormal="145" workbookViewId="0">
      <selection activeCell="D8" sqref="D8"/>
    </sheetView>
  </sheetViews>
  <sheetFormatPr baseColWidth="10" defaultColWidth="9.1640625" defaultRowHeight="16"/>
  <cols>
    <col min="1" max="1" width="16.33203125" style="194" bestFit="1" customWidth="1"/>
    <col min="2" max="2" width="12.33203125" style="194" bestFit="1" customWidth="1"/>
    <col min="3" max="3" width="13.5" style="194" bestFit="1" customWidth="1"/>
    <col min="4" max="4" width="37.33203125" style="194" customWidth="1"/>
    <col min="5" max="16384" width="9.1640625" style="194"/>
  </cols>
  <sheetData>
    <row r="1" spans="1:8">
      <c r="E1" s="51" t="s">
        <v>59</v>
      </c>
      <c r="F1" s="52"/>
      <c r="G1" s="53" t="s">
        <v>60</v>
      </c>
      <c r="H1" s="52">
        <v>1</v>
      </c>
    </row>
    <row r="2" spans="1:8">
      <c r="E2" s="54" t="s">
        <v>1159</v>
      </c>
      <c r="F2" s="54"/>
      <c r="G2" s="59"/>
      <c r="H2" s="60" t="s">
        <v>893</v>
      </c>
    </row>
    <row r="3" spans="1:8" ht="32">
      <c r="A3" s="119" t="s">
        <v>105</v>
      </c>
      <c r="B3" s="119" t="s">
        <v>106</v>
      </c>
      <c r="C3" s="119" t="s">
        <v>107</v>
      </c>
      <c r="D3" s="119" t="s">
        <v>661</v>
      </c>
      <c r="E3" s="55" t="s">
        <v>1160</v>
      </c>
      <c r="F3" s="56"/>
      <c r="G3" s="56"/>
      <c r="H3" s="57" t="str">
        <f t="array" ref="H3">IF(SUM(COUNTIF(D4:D26,E4:E26))=COUNTA(C4:C26),"ДА","НЕТ")</f>
        <v>ДА</v>
      </c>
    </row>
    <row r="4" spans="1:8">
      <c r="A4" s="88" t="s">
        <v>52</v>
      </c>
      <c r="B4" s="88" t="s">
        <v>115</v>
      </c>
      <c r="C4" s="88" t="s">
        <v>116</v>
      </c>
      <c r="D4" s="62" t="str">
        <f>CONCATENATE(A4," ",B4," ",C4)</f>
        <v>Арбузов Антон Алексеевич</v>
      </c>
      <c r="E4" s="248" t="s">
        <v>456</v>
      </c>
    </row>
    <row r="5" spans="1:8">
      <c r="A5" s="88" t="s">
        <v>120</v>
      </c>
      <c r="B5" s="88" t="s">
        <v>121</v>
      </c>
      <c r="C5" s="88" t="s">
        <v>122</v>
      </c>
      <c r="D5" s="62" t="str">
        <f t="shared" ref="D5:D26" si="0">CONCATENATE(A5," ",B5," ",C5)</f>
        <v>Воронов Виктор Васильевич</v>
      </c>
      <c r="E5" s="248" t="s">
        <v>460</v>
      </c>
    </row>
    <row r="6" spans="1:8">
      <c r="A6" s="88" t="s">
        <v>51</v>
      </c>
      <c r="B6" s="88" t="s">
        <v>123</v>
      </c>
      <c r="C6" s="88" t="s">
        <v>124</v>
      </c>
      <c r="D6" s="62" t="str">
        <f t="shared" si="0"/>
        <v>Воронова Вера Васильевна</v>
      </c>
      <c r="E6" s="248" t="s">
        <v>904</v>
      </c>
    </row>
    <row r="7" spans="1:8">
      <c r="A7" s="88" t="s">
        <v>127</v>
      </c>
      <c r="B7" s="88" t="s">
        <v>128</v>
      </c>
      <c r="C7" s="88" t="s">
        <v>129</v>
      </c>
      <c r="D7" s="62" t="str">
        <f t="shared" si="0"/>
        <v>Вишнев Василий Викторович</v>
      </c>
      <c r="E7" s="248" t="s">
        <v>905</v>
      </c>
    </row>
    <row r="8" spans="1:8">
      <c r="A8" s="88" t="s">
        <v>47</v>
      </c>
      <c r="B8" s="88" t="s">
        <v>134</v>
      </c>
      <c r="C8" s="88" t="s">
        <v>135</v>
      </c>
      <c r="D8" s="62" t="str">
        <f t="shared" si="0"/>
        <v>Дроздова Дарья Дмитриевна</v>
      </c>
      <c r="E8" s="248" t="s">
        <v>906</v>
      </c>
    </row>
    <row r="9" spans="1:8">
      <c r="A9" s="88" t="s">
        <v>45</v>
      </c>
      <c r="B9" s="88" t="s">
        <v>138</v>
      </c>
      <c r="C9" s="88" t="s">
        <v>135</v>
      </c>
      <c r="D9" s="62" t="str">
        <f t="shared" si="0"/>
        <v>Дятлова Дина Дмитриевна</v>
      </c>
      <c r="E9" s="248" t="s">
        <v>907</v>
      </c>
    </row>
    <row r="10" spans="1:8">
      <c r="A10" s="88" t="s">
        <v>42</v>
      </c>
      <c r="B10" s="88" t="s">
        <v>144</v>
      </c>
      <c r="C10" s="88" t="s">
        <v>145</v>
      </c>
      <c r="D10" s="62" t="str">
        <f t="shared" si="0"/>
        <v>Карасев Константин Кириллович</v>
      </c>
      <c r="E10" s="248" t="s">
        <v>477</v>
      </c>
    </row>
    <row r="11" spans="1:8">
      <c r="A11" s="88" t="s">
        <v>151</v>
      </c>
      <c r="B11" s="88" t="s">
        <v>152</v>
      </c>
      <c r="C11" s="88" t="s">
        <v>153</v>
      </c>
      <c r="D11" s="62" t="str">
        <f t="shared" si="0"/>
        <v>Мышкина Марина Максимовна</v>
      </c>
      <c r="E11" s="248" t="s">
        <v>481</v>
      </c>
    </row>
    <row r="12" spans="1:8">
      <c r="A12" s="88" t="s">
        <v>39</v>
      </c>
      <c r="B12" s="88" t="s">
        <v>156</v>
      </c>
      <c r="C12" s="88" t="s">
        <v>157</v>
      </c>
      <c r="D12" s="62" t="str">
        <f t="shared" si="0"/>
        <v>Носорогова Нина Николаевна</v>
      </c>
      <c r="E12" s="248" t="s">
        <v>636</v>
      </c>
    </row>
    <row r="13" spans="1:8">
      <c r="A13" s="88" t="s">
        <v>38</v>
      </c>
      <c r="B13" s="88" t="s">
        <v>161</v>
      </c>
      <c r="C13" s="88" t="s">
        <v>162</v>
      </c>
      <c r="D13" s="62" t="str">
        <f t="shared" si="0"/>
        <v>Орлов Олег Осипович</v>
      </c>
      <c r="E13" s="248" t="s">
        <v>637</v>
      </c>
    </row>
    <row r="14" spans="1:8">
      <c r="A14" s="88" t="s">
        <v>37</v>
      </c>
      <c r="B14" s="88" t="s">
        <v>166</v>
      </c>
      <c r="C14" s="88" t="s">
        <v>165</v>
      </c>
      <c r="D14" s="62" t="str">
        <f t="shared" si="0"/>
        <v>Овнова Оксана Олеговна</v>
      </c>
      <c r="E14" s="248" t="s">
        <v>638</v>
      </c>
    </row>
    <row r="15" spans="1:8">
      <c r="A15" s="88" t="s">
        <v>320</v>
      </c>
      <c r="B15" s="88" t="s">
        <v>173</v>
      </c>
      <c r="C15" s="88" t="s">
        <v>174</v>
      </c>
      <c r="D15" s="62" t="str">
        <f t="shared" si="0"/>
        <v>Перцев Павел Платонович</v>
      </c>
      <c r="E15" s="248" t="s">
        <v>639</v>
      </c>
    </row>
    <row r="16" spans="1:8">
      <c r="A16" s="88" t="s">
        <v>177</v>
      </c>
      <c r="B16" s="88" t="s">
        <v>178</v>
      </c>
      <c r="C16" s="88" t="s">
        <v>168</v>
      </c>
      <c r="D16" s="62" t="str">
        <f t="shared" si="0"/>
        <v>Птицина Пелагея Платоновна</v>
      </c>
      <c r="E16" s="248" t="s">
        <v>488</v>
      </c>
    </row>
    <row r="17" spans="1:5">
      <c r="A17" s="88" t="s">
        <v>182</v>
      </c>
      <c r="B17" s="88" t="s">
        <v>173</v>
      </c>
      <c r="C17" s="88" t="s">
        <v>171</v>
      </c>
      <c r="D17" s="62" t="str">
        <f t="shared" si="0"/>
        <v>Павианов Павел Петрович</v>
      </c>
      <c r="E17" s="248" t="s">
        <v>489</v>
      </c>
    </row>
    <row r="18" spans="1:5">
      <c r="A18" s="88" t="s">
        <v>189</v>
      </c>
      <c r="B18" s="88" t="s">
        <v>190</v>
      </c>
      <c r="C18" s="88" t="s">
        <v>191</v>
      </c>
      <c r="D18" s="62" t="str">
        <f t="shared" si="0"/>
        <v>Рогов Руслан Романович</v>
      </c>
      <c r="E18" s="248" t="s">
        <v>908</v>
      </c>
    </row>
    <row r="19" spans="1:5">
      <c r="A19" s="88" t="s">
        <v>196</v>
      </c>
      <c r="B19" s="88" t="s">
        <v>197</v>
      </c>
      <c r="C19" s="88" t="s">
        <v>198</v>
      </c>
      <c r="D19" s="62" t="str">
        <f t="shared" si="0"/>
        <v>Степнов Сергей Семенович</v>
      </c>
      <c r="E19" s="248" t="s">
        <v>909</v>
      </c>
    </row>
    <row r="20" spans="1:5">
      <c r="A20" s="88" t="s">
        <v>206</v>
      </c>
      <c r="B20" s="88" t="s">
        <v>207</v>
      </c>
      <c r="C20" s="88" t="s">
        <v>208</v>
      </c>
      <c r="D20" s="62" t="str">
        <f t="shared" si="0"/>
        <v>Туров Тимофей Трофимович</v>
      </c>
      <c r="E20" s="248" t="s">
        <v>644</v>
      </c>
    </row>
    <row r="21" spans="1:5">
      <c r="A21" s="88" t="s">
        <v>209</v>
      </c>
      <c r="B21" s="88" t="s">
        <v>210</v>
      </c>
      <c r="C21" s="88" t="s">
        <v>211</v>
      </c>
      <c r="D21" s="62" t="str">
        <f t="shared" si="0"/>
        <v>Уткин Устин Устинович</v>
      </c>
      <c r="E21" s="248" t="s">
        <v>493</v>
      </c>
    </row>
    <row r="22" spans="1:5">
      <c r="A22" s="88" t="s">
        <v>324</v>
      </c>
      <c r="B22" s="88" t="s">
        <v>325</v>
      </c>
      <c r="C22" s="88" t="s">
        <v>326</v>
      </c>
      <c r="D22" s="62" t="str">
        <f t="shared" si="0"/>
        <v>Удодов Ульрих Уокерович</v>
      </c>
      <c r="E22" s="248" t="s">
        <v>494</v>
      </c>
    </row>
    <row r="23" spans="1:5">
      <c r="A23" s="88" t="s">
        <v>218</v>
      </c>
      <c r="B23" s="88" t="s">
        <v>219</v>
      </c>
      <c r="C23" s="88" t="s">
        <v>220</v>
      </c>
      <c r="D23" s="62" t="str">
        <f t="shared" si="0"/>
        <v>Хомяков Харитон Харитонович</v>
      </c>
      <c r="E23" s="248" t="s">
        <v>645</v>
      </c>
    </row>
    <row r="24" spans="1:5">
      <c r="A24" s="88" t="s">
        <v>221</v>
      </c>
      <c r="B24" s="88" t="s">
        <v>222</v>
      </c>
      <c r="C24" s="88" t="s">
        <v>223</v>
      </c>
      <c r="D24" s="62" t="str">
        <f t="shared" si="0"/>
        <v>Южный Юрий Юрьевич</v>
      </c>
      <c r="E24" s="248" t="s">
        <v>910</v>
      </c>
    </row>
    <row r="25" spans="1:5">
      <c r="A25" s="88" t="s">
        <v>224</v>
      </c>
      <c r="B25" s="88" t="s">
        <v>225</v>
      </c>
      <c r="C25" s="88" t="s">
        <v>226</v>
      </c>
      <c r="D25" s="62" t="str">
        <f t="shared" si="0"/>
        <v>Южная Юлия Юрьевна</v>
      </c>
      <c r="E25" s="248" t="s">
        <v>496</v>
      </c>
    </row>
    <row r="26" spans="1:5">
      <c r="A26" s="88" t="s">
        <v>230</v>
      </c>
      <c r="B26" s="88" t="s">
        <v>231</v>
      </c>
      <c r="C26" s="88" t="s">
        <v>232</v>
      </c>
      <c r="D26" s="62" t="str">
        <f t="shared" si="0"/>
        <v>Яблоков Яков Яковлевич</v>
      </c>
      <c r="E26" s="248" t="s">
        <v>497</v>
      </c>
    </row>
  </sheetData>
  <conditionalFormatting sqref="H3">
    <cfRule type="cellIs" dxfId="49" priority="1" operator="equal">
      <formula>"нет"</formula>
    </cfRule>
    <cfRule type="cellIs" dxfId="48" priority="2" operator="equal">
      <formula>"да"</formula>
    </cfRule>
  </conditionalFormatting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9"/>
  </sheetPr>
  <dimension ref="A1:J19"/>
  <sheetViews>
    <sheetView showGridLines="0" zoomScale="130" zoomScaleNormal="130" workbookViewId="0">
      <selection activeCell="B2" sqref="B2:B19"/>
    </sheetView>
  </sheetViews>
  <sheetFormatPr baseColWidth="10" defaultColWidth="9.1640625" defaultRowHeight="16"/>
  <cols>
    <col min="1" max="1" width="36.83203125" style="194" bestFit="1" customWidth="1"/>
    <col min="2" max="2" width="32.6640625" style="194" customWidth="1"/>
    <col min="3" max="6" width="9.1640625" style="194"/>
    <col min="7" max="7" width="10.5" style="194" customWidth="1"/>
    <col min="8" max="8" width="4.33203125" style="194" customWidth="1"/>
    <col min="9" max="9" width="7.1640625" style="194" customWidth="1"/>
    <col min="10" max="16384" width="9.1640625" style="194"/>
  </cols>
  <sheetData>
    <row r="1" spans="1:10">
      <c r="A1" s="119" t="s">
        <v>662</v>
      </c>
      <c r="B1" s="119" t="s">
        <v>451</v>
      </c>
      <c r="G1" s="51" t="s">
        <v>59</v>
      </c>
      <c r="H1" s="52"/>
      <c r="I1" s="53" t="s">
        <v>60</v>
      </c>
      <c r="J1" s="52">
        <v>1</v>
      </c>
    </row>
    <row r="2" spans="1:10">
      <c r="A2" s="62" t="s">
        <v>663</v>
      </c>
      <c r="B2" s="62" t="str">
        <f>TRIM(A2)</f>
        <v>Арбузов Антон Алексеевич</v>
      </c>
      <c r="C2" s="248" t="s">
        <v>456</v>
      </c>
      <c r="G2" s="54"/>
      <c r="H2" s="54"/>
      <c r="I2" s="59"/>
      <c r="J2" s="60" t="s">
        <v>893</v>
      </c>
    </row>
    <row r="3" spans="1:10">
      <c r="A3" s="62" t="s">
        <v>664</v>
      </c>
      <c r="B3" s="62" t="str">
        <f t="shared" ref="B3:B19" si="0">TRIM(A3)</f>
        <v>Воронов Виктор Васильевич</v>
      </c>
      <c r="C3" s="248" t="s">
        <v>460</v>
      </c>
      <c r="G3" s="55" t="s">
        <v>1161</v>
      </c>
      <c r="H3" s="56"/>
      <c r="I3" s="56"/>
      <c r="J3" s="57" t="str">
        <f t="array" ref="J3">IF(SUM(COUNTIF(B2:B19,C2:C19))=COUNTA(C2:C19),"ДА","НЕТ")</f>
        <v>ДА</v>
      </c>
    </row>
    <row r="4" spans="1:10">
      <c r="A4" s="62" t="s">
        <v>665</v>
      </c>
      <c r="B4" s="62" t="str">
        <f t="shared" si="0"/>
        <v>Вишнева Валентина Викторовна</v>
      </c>
      <c r="C4" s="248" t="s">
        <v>464</v>
      </c>
    </row>
    <row r="5" spans="1:10">
      <c r="A5" s="62" t="s">
        <v>666</v>
      </c>
      <c r="B5" s="62" t="str">
        <f t="shared" si="0"/>
        <v>Дятлов Даниил Дмитриевич</v>
      </c>
      <c r="C5" s="248" t="s">
        <v>468</v>
      </c>
      <c r="G5" s="387" t="s">
        <v>1158</v>
      </c>
    </row>
    <row r="6" spans="1:10">
      <c r="A6" s="62" t="s">
        <v>667</v>
      </c>
      <c r="B6" s="62" t="str">
        <f t="shared" si="0"/>
        <v>Дынин Дмитрий Данилович</v>
      </c>
      <c r="C6" s="248" t="s">
        <v>471</v>
      </c>
    </row>
    <row r="7" spans="1:10">
      <c r="A7" s="62" t="s">
        <v>668</v>
      </c>
      <c r="B7" s="62" t="str">
        <f t="shared" si="0"/>
        <v>Зайкина Зинаида Захаровна</v>
      </c>
      <c r="C7" s="248" t="s">
        <v>474</v>
      </c>
    </row>
    <row r="8" spans="1:10">
      <c r="A8" s="62" t="s">
        <v>669</v>
      </c>
      <c r="B8" s="62" t="str">
        <f t="shared" si="0"/>
        <v>Лимонов Леонид Леонидович</v>
      </c>
      <c r="C8" s="248" t="s">
        <v>479</v>
      </c>
    </row>
    <row r="9" spans="1:10">
      <c r="A9" s="62" t="s">
        <v>670</v>
      </c>
      <c r="B9" s="62" t="str">
        <f t="shared" si="0"/>
        <v>Мышкина Марина Максимовна</v>
      </c>
      <c r="C9" s="248" t="s">
        <v>481</v>
      </c>
    </row>
    <row r="10" spans="1:10">
      <c r="A10" s="62" t="s">
        <v>671</v>
      </c>
      <c r="B10" s="62" t="str">
        <f t="shared" si="0"/>
        <v>Носорогов Никита Николаевич</v>
      </c>
      <c r="C10" s="248" t="s">
        <v>484</v>
      </c>
    </row>
    <row r="11" spans="1:10">
      <c r="A11" s="62" t="s">
        <v>672</v>
      </c>
      <c r="B11" s="62" t="str">
        <f t="shared" si="0"/>
        <v>Орлова Ольга Олеговна</v>
      </c>
      <c r="C11" s="248" t="s">
        <v>486</v>
      </c>
    </row>
    <row r="12" spans="1:10">
      <c r="A12" s="62" t="s">
        <v>673</v>
      </c>
      <c r="B12" s="62" t="str">
        <f t="shared" si="0"/>
        <v>Петухов Платон Петрович</v>
      </c>
      <c r="C12" s="248" t="s">
        <v>487</v>
      </c>
    </row>
    <row r="13" spans="1:10">
      <c r="A13" s="62" t="s">
        <v>674</v>
      </c>
      <c r="B13" s="62" t="str">
        <f t="shared" si="0"/>
        <v>Павианов Павел Петрович</v>
      </c>
      <c r="C13" s="248" t="s">
        <v>489</v>
      </c>
    </row>
    <row r="14" spans="1:10">
      <c r="A14" s="62" t="s">
        <v>675</v>
      </c>
      <c r="B14" s="62" t="str">
        <f t="shared" si="0"/>
        <v>Редькина Рената Руслановна</v>
      </c>
      <c r="C14" s="248" t="s">
        <v>490</v>
      </c>
    </row>
    <row r="15" spans="1:10">
      <c r="A15" s="62" t="s">
        <v>676</v>
      </c>
      <c r="B15" s="62" t="str">
        <f t="shared" si="0"/>
        <v>Ромашкин Роман Русланович</v>
      </c>
      <c r="C15" s="248" t="s">
        <v>491</v>
      </c>
    </row>
    <row r="16" spans="1:10">
      <c r="A16" s="62" t="s">
        <v>677</v>
      </c>
      <c r="B16" s="62" t="str">
        <f t="shared" si="0"/>
        <v>Уткин Устин Устинович</v>
      </c>
      <c r="C16" s="248" t="s">
        <v>493</v>
      </c>
    </row>
    <row r="17" spans="1:3">
      <c r="A17" s="62" t="s">
        <v>678</v>
      </c>
      <c r="B17" s="62" t="str">
        <f t="shared" si="0"/>
        <v>Удодов Ульрих Уокерович</v>
      </c>
      <c r="C17" s="248" t="s">
        <v>494</v>
      </c>
    </row>
    <row r="18" spans="1:3">
      <c r="A18" s="62" t="s">
        <v>679</v>
      </c>
      <c r="B18" s="62" t="str">
        <f t="shared" si="0"/>
        <v>Южная Юлия Юрьевна</v>
      </c>
      <c r="C18" s="248" t="s">
        <v>496</v>
      </c>
    </row>
    <row r="19" spans="1:3">
      <c r="A19" s="62" t="s">
        <v>680</v>
      </c>
      <c r="B19" s="62" t="str">
        <f t="shared" si="0"/>
        <v>Яблоков Яков Яковлевич</v>
      </c>
      <c r="C19" s="248" t="s">
        <v>497</v>
      </c>
    </row>
  </sheetData>
  <conditionalFormatting sqref="J3">
    <cfRule type="cellIs" dxfId="47" priority="1" operator="equal">
      <formula>"нет"</formula>
    </cfRule>
    <cfRule type="cellIs" dxfId="46" priority="2" operator="equal">
      <formula>"да"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9"/>
  </sheetPr>
  <dimension ref="A1:E28"/>
  <sheetViews>
    <sheetView showGridLines="0" zoomScale="130" zoomScaleNormal="130" workbookViewId="0">
      <selection activeCell="B2" sqref="B2:D24"/>
    </sheetView>
  </sheetViews>
  <sheetFormatPr baseColWidth="10" defaultColWidth="9.1640625" defaultRowHeight="16"/>
  <cols>
    <col min="1" max="1" width="32.83203125" style="194" bestFit="1" customWidth="1"/>
    <col min="2" max="4" width="30.33203125" style="194" customWidth="1"/>
    <col min="5" max="16384" width="9.1640625" style="194"/>
  </cols>
  <sheetData>
    <row r="1" spans="1:5" ht="32">
      <c r="A1" s="119" t="s">
        <v>681</v>
      </c>
      <c r="B1" s="119" t="s">
        <v>682</v>
      </c>
      <c r="C1" s="119" t="s">
        <v>683</v>
      </c>
      <c r="D1" s="119" t="s">
        <v>684</v>
      </c>
    </row>
    <row r="2" spans="1:5">
      <c r="A2" s="88" t="s">
        <v>685</v>
      </c>
      <c r="B2" s="62" t="str">
        <f>UPPER(A2)</f>
        <v>АРБУЗОВ АНТОН АЛЕКСЕЕВИЧ</v>
      </c>
      <c r="C2" s="62" t="str">
        <f>LOWER(A2)</f>
        <v>арбузов антон алексеевич</v>
      </c>
      <c r="D2" s="62" t="str">
        <f>PROPER(A2)</f>
        <v>Арбузов Антон Алексеевич</v>
      </c>
      <c r="E2" s="248" t="s">
        <v>456</v>
      </c>
    </row>
    <row r="3" spans="1:5">
      <c r="A3" s="88" t="s">
        <v>686</v>
      </c>
      <c r="B3" s="62" t="str">
        <f t="shared" ref="B3:B24" si="0">UPPER(A3)</f>
        <v>ВОРОНОВ ВИКТОР ВАСИЛЬЕВИЧ</v>
      </c>
      <c r="C3" s="62" t="str">
        <f t="shared" ref="C3:C24" si="1">LOWER(A3)</f>
        <v>воронов виктор васильевич</v>
      </c>
      <c r="D3" s="62" t="str">
        <f t="shared" ref="D3:D24" si="2">PROPER(A3)</f>
        <v>Воронов Виктор Васильевич</v>
      </c>
      <c r="E3" s="248" t="s">
        <v>460</v>
      </c>
    </row>
    <row r="4" spans="1:5">
      <c r="A4" s="88" t="s">
        <v>687</v>
      </c>
      <c r="B4" s="62" t="str">
        <f t="shared" si="0"/>
        <v>ВИШНЕВ ВАСИЛИЙ ВИКТОРОВИЧ</v>
      </c>
      <c r="C4" s="62" t="str">
        <f t="shared" si="1"/>
        <v>вишнев василий викторович</v>
      </c>
      <c r="D4" s="62" t="str">
        <f t="shared" si="2"/>
        <v>Вишнев Василий Викторович</v>
      </c>
      <c r="E4" s="248" t="s">
        <v>905</v>
      </c>
    </row>
    <row r="5" spans="1:5">
      <c r="A5" s="88" t="s">
        <v>688</v>
      </c>
      <c r="B5" s="62" t="str">
        <f t="shared" si="0"/>
        <v>ДУБОВ ДЕНИС ДАВИДОВИЧ</v>
      </c>
      <c r="C5" s="62" t="str">
        <f t="shared" si="1"/>
        <v>дубов денис давидович</v>
      </c>
      <c r="D5" s="62" t="str">
        <f t="shared" si="2"/>
        <v>Дубов Денис Давидович</v>
      </c>
      <c r="E5" s="248" t="s">
        <v>911</v>
      </c>
    </row>
    <row r="6" spans="1:5">
      <c r="A6" s="88" t="s">
        <v>689</v>
      </c>
      <c r="B6" s="62" t="str">
        <f t="shared" si="0"/>
        <v>ДЫНИН ДАНИИЛ ДМИТРИЕВИЧ</v>
      </c>
      <c r="C6" s="62" t="str">
        <f t="shared" si="1"/>
        <v>дынин даниил дмитриевич</v>
      </c>
      <c r="D6" s="62" t="str">
        <f t="shared" si="2"/>
        <v>Дынин Даниил Дмитриевич</v>
      </c>
      <c r="E6" s="248" t="s">
        <v>634</v>
      </c>
    </row>
    <row r="7" spans="1:5">
      <c r="A7" s="88" t="s">
        <v>690</v>
      </c>
      <c r="B7" s="62" t="str">
        <f t="shared" si="0"/>
        <v>ЗАЙКИНА ЗИНАИДА ЗАХАРОВНА</v>
      </c>
      <c r="C7" s="62" t="str">
        <f t="shared" si="1"/>
        <v>зайкина зинаида захаровна</v>
      </c>
      <c r="D7" s="62" t="str">
        <f t="shared" si="2"/>
        <v>Зайкина Зинаида Захаровна</v>
      </c>
      <c r="E7" s="248" t="s">
        <v>474</v>
      </c>
    </row>
    <row r="8" spans="1:5">
      <c r="A8" s="88" t="s">
        <v>691</v>
      </c>
      <c r="B8" s="62" t="str">
        <f t="shared" si="0"/>
        <v>ЛИМОНОВ ЛЕОНИД ЛЕОНИДОВИЧ</v>
      </c>
      <c r="C8" s="62" t="str">
        <f t="shared" si="1"/>
        <v>лимонов леонид леонидович</v>
      </c>
      <c r="D8" s="62" t="str">
        <f t="shared" si="2"/>
        <v>Лимонов Леонид Леонидович</v>
      </c>
      <c r="E8" s="248" t="s">
        <v>479</v>
      </c>
    </row>
    <row r="9" spans="1:5">
      <c r="A9" s="88" t="s">
        <v>692</v>
      </c>
      <c r="B9" s="62" t="str">
        <f t="shared" si="0"/>
        <v>МЫШКИН МАКСИМ МИХАЙЛОВИЧ</v>
      </c>
      <c r="C9" s="62" t="str">
        <f t="shared" si="1"/>
        <v>мышкин максим михайлович</v>
      </c>
      <c r="D9" s="62" t="str">
        <f t="shared" si="2"/>
        <v>Мышкин Максим Михайлович</v>
      </c>
      <c r="E9" s="248" t="s">
        <v>483</v>
      </c>
    </row>
    <row r="10" spans="1:5">
      <c r="A10" s="88" t="s">
        <v>693</v>
      </c>
      <c r="B10" s="62" t="str">
        <f t="shared" si="0"/>
        <v>ОРЛОВ ОЛЕГ ОСИПОВИЧ</v>
      </c>
      <c r="C10" s="62" t="str">
        <f t="shared" si="1"/>
        <v>орлов олег осипович</v>
      </c>
      <c r="D10" s="62" t="str">
        <f t="shared" si="2"/>
        <v>Орлов Олег Осипович</v>
      </c>
      <c r="E10" s="248" t="s">
        <v>637</v>
      </c>
    </row>
    <row r="11" spans="1:5">
      <c r="A11" s="88" t="s">
        <v>694</v>
      </c>
      <c r="B11" s="62" t="str">
        <f t="shared" si="0"/>
        <v>ОВНОВА ОКСАНА ОЛЕГОВНА</v>
      </c>
      <c r="C11" s="62" t="str">
        <f t="shared" si="1"/>
        <v>овнова оксана олеговна</v>
      </c>
      <c r="D11" s="62" t="str">
        <f t="shared" si="2"/>
        <v>Овнова Оксана Олеговна</v>
      </c>
      <c r="E11" s="248" t="s">
        <v>638</v>
      </c>
    </row>
    <row r="12" spans="1:5">
      <c r="A12" s="88" t="s">
        <v>695</v>
      </c>
      <c r="B12" s="62" t="str">
        <f t="shared" si="0"/>
        <v>ПЕТУХОВ ПЛАТОН ПЕТРОВИЧ</v>
      </c>
      <c r="C12" s="62" t="str">
        <f t="shared" si="1"/>
        <v>петухов платон петрович</v>
      </c>
      <c r="D12" s="62" t="str">
        <f t="shared" si="2"/>
        <v>Петухов Платон Петрович</v>
      </c>
      <c r="E12" s="248" t="s">
        <v>487</v>
      </c>
    </row>
    <row r="13" spans="1:5">
      <c r="A13" s="88" t="s">
        <v>696</v>
      </c>
      <c r="B13" s="62" t="str">
        <f t="shared" si="0"/>
        <v>ПТИЦИНА ПЕЛАГЕЯ ПЛАТОНОВНА</v>
      </c>
      <c r="C13" s="62" t="str">
        <f t="shared" si="1"/>
        <v>птицина пелагея платоновна</v>
      </c>
      <c r="D13" s="62" t="str">
        <f t="shared" si="2"/>
        <v>Птицина Пелагея Платоновна</v>
      </c>
      <c r="E13" s="248" t="s">
        <v>488</v>
      </c>
    </row>
    <row r="14" spans="1:5">
      <c r="A14" s="88" t="s">
        <v>697</v>
      </c>
      <c r="B14" s="62" t="str">
        <f t="shared" si="0"/>
        <v>ПАВИАНОВ ПАВЕЛ ПЕТРОВИЧ</v>
      </c>
      <c r="C14" s="62" t="str">
        <f t="shared" si="1"/>
        <v>павианов павел петрович</v>
      </c>
      <c r="D14" s="62" t="str">
        <f t="shared" si="2"/>
        <v>Павианов Павел Петрович</v>
      </c>
      <c r="E14" s="248" t="s">
        <v>489</v>
      </c>
    </row>
    <row r="15" spans="1:5">
      <c r="A15" s="88" t="s">
        <v>698</v>
      </c>
      <c r="B15" s="62" t="str">
        <f t="shared" si="0"/>
        <v>РЕДЬКИНА РЕНАТА РУСЛАНОВНА</v>
      </c>
      <c r="C15" s="62" t="str">
        <f t="shared" si="1"/>
        <v>редькина рената руслановна</v>
      </c>
      <c r="D15" s="62" t="str">
        <f t="shared" si="2"/>
        <v>Редькина Рената Руслановна</v>
      </c>
      <c r="E15" s="248" t="s">
        <v>490</v>
      </c>
    </row>
    <row r="16" spans="1:5">
      <c r="A16" s="88" t="s">
        <v>699</v>
      </c>
      <c r="B16" s="62" t="str">
        <f t="shared" si="0"/>
        <v>РЕДЬКИН РОМАН РУСЛАНОВИЧ</v>
      </c>
      <c r="C16" s="62" t="str">
        <f t="shared" si="1"/>
        <v>редькин роман русланович</v>
      </c>
      <c r="D16" s="62" t="str">
        <f t="shared" si="2"/>
        <v>Редькин Роман Русланович</v>
      </c>
      <c r="E16" s="248" t="s">
        <v>642</v>
      </c>
    </row>
    <row r="17" spans="1:5">
      <c r="A17" s="88" t="s">
        <v>700</v>
      </c>
      <c r="B17" s="62" t="str">
        <f t="shared" si="0"/>
        <v>СТЕПНОВ СЕРГЕЙ СЕМЕНОВИЧ</v>
      </c>
      <c r="C17" s="62" t="str">
        <f t="shared" si="1"/>
        <v>степнов сергей семенович</v>
      </c>
      <c r="D17" s="62" t="str">
        <f t="shared" si="2"/>
        <v>Степнов Сергей Семенович</v>
      </c>
      <c r="E17" s="248" t="s">
        <v>909</v>
      </c>
    </row>
    <row r="18" spans="1:5">
      <c r="A18" s="88" t="s">
        <v>701</v>
      </c>
      <c r="B18" s="62" t="str">
        <f t="shared" si="0"/>
        <v>ТУРОВА ТАИСИЯ ТИХОНОВНА</v>
      </c>
      <c r="C18" s="62" t="str">
        <f t="shared" si="1"/>
        <v>турова таисия тихоновна</v>
      </c>
      <c r="D18" s="62" t="str">
        <f t="shared" si="2"/>
        <v>Турова Таисия Тихоновна</v>
      </c>
      <c r="E18" s="248" t="s">
        <v>912</v>
      </c>
    </row>
    <row r="19" spans="1:5">
      <c r="A19" s="88" t="s">
        <v>702</v>
      </c>
      <c r="B19" s="62" t="str">
        <f t="shared" si="0"/>
        <v>УТКИН УСТИН УСТИНОВИЧ</v>
      </c>
      <c r="C19" s="62" t="str">
        <f t="shared" si="1"/>
        <v>уткин устин устинович</v>
      </c>
      <c r="D19" s="62" t="str">
        <f t="shared" si="2"/>
        <v>Уткин Устин Устинович</v>
      </c>
      <c r="E19" s="248" t="s">
        <v>493</v>
      </c>
    </row>
    <row r="20" spans="1:5">
      <c r="A20" s="88" t="s">
        <v>703</v>
      </c>
      <c r="B20" s="62" t="str">
        <f t="shared" si="0"/>
        <v>УДОДОВА УЛАНА УМБЕРТОВНА</v>
      </c>
      <c r="C20" s="62" t="str">
        <f t="shared" si="1"/>
        <v>удодова улана умбертовна</v>
      </c>
      <c r="D20" s="62" t="str">
        <f t="shared" si="2"/>
        <v>Удодова Улана Умбертовна</v>
      </c>
      <c r="E20" s="248" t="s">
        <v>913</v>
      </c>
    </row>
    <row r="21" spans="1:5">
      <c r="A21" s="88" t="s">
        <v>704</v>
      </c>
      <c r="B21" s="62" t="str">
        <f t="shared" si="0"/>
        <v>ХОМЯКОВА ХРИСТИНА ХАРИТОНОВНА</v>
      </c>
      <c r="C21" s="62" t="str">
        <f t="shared" si="1"/>
        <v>хомякова христина харитоновна</v>
      </c>
      <c r="D21" s="62" t="str">
        <f t="shared" si="2"/>
        <v>Хомякова Христина Харитоновна</v>
      </c>
      <c r="E21" s="248" t="s">
        <v>914</v>
      </c>
    </row>
    <row r="22" spans="1:5">
      <c r="A22" s="88" t="s">
        <v>705</v>
      </c>
      <c r="B22" s="62" t="str">
        <f t="shared" si="0"/>
        <v>ХЛЕБОВ ХРИСТОФОР ХАРЛАМОВИЧ</v>
      </c>
      <c r="C22" s="62" t="str">
        <f t="shared" si="1"/>
        <v>хлебов христофор харламович</v>
      </c>
      <c r="D22" s="62" t="str">
        <f t="shared" si="2"/>
        <v>Хлебов Христофор Харламович</v>
      </c>
      <c r="E22" s="248" t="s">
        <v>915</v>
      </c>
    </row>
    <row r="23" spans="1:5">
      <c r="A23" s="88" t="s">
        <v>706</v>
      </c>
      <c r="B23" s="62" t="str">
        <f t="shared" si="0"/>
        <v>ХЛЕБОВА ХИЛАРИ ХАНОВНА</v>
      </c>
      <c r="C23" s="62" t="str">
        <f t="shared" si="1"/>
        <v>хлебова хилари хановна</v>
      </c>
      <c r="D23" s="62" t="str">
        <f t="shared" si="2"/>
        <v>Хлебова Хилари Хановна</v>
      </c>
      <c r="E23" s="248" t="s">
        <v>495</v>
      </c>
    </row>
    <row r="24" spans="1:5">
      <c r="A24" s="88" t="s">
        <v>707</v>
      </c>
      <c r="B24" s="62" t="str">
        <f t="shared" si="0"/>
        <v>ЯБЛОКОВА ЯНА ЯКОВЛЕВНА</v>
      </c>
      <c r="C24" s="62" t="str">
        <f t="shared" si="1"/>
        <v>яблокова яна яковлевна</v>
      </c>
      <c r="D24" s="62" t="str">
        <f t="shared" si="2"/>
        <v>Яблокова Яна Яковлевна</v>
      </c>
      <c r="E24" s="248" t="s">
        <v>916</v>
      </c>
    </row>
    <row r="26" spans="1:5">
      <c r="A26" s="51" t="s">
        <v>59</v>
      </c>
      <c r="B26" s="52"/>
      <c r="C26" s="53" t="s">
        <v>60</v>
      </c>
      <c r="D26" s="52">
        <v>3</v>
      </c>
    </row>
    <row r="27" spans="1:5">
      <c r="A27" s="54"/>
      <c r="B27" s="54"/>
      <c r="C27" s="59"/>
      <c r="D27" s="60" t="s">
        <v>893</v>
      </c>
    </row>
    <row r="28" spans="1:5">
      <c r="A28" s="55" t="s">
        <v>917</v>
      </c>
      <c r="B28" s="56"/>
      <c r="C28" s="56"/>
      <c r="D28" s="57" t="str">
        <f t="array" ref="D28">IF(SUM(COUNTIF(D2:D24,E2:E24))=COUNTA(A2:A24),"ДА","НЕТ")</f>
        <v>ДА</v>
      </c>
    </row>
  </sheetData>
  <conditionalFormatting sqref="D28">
    <cfRule type="cellIs" dxfId="45" priority="1" operator="equal">
      <formula>"нет"</formula>
    </cfRule>
    <cfRule type="cellIs" dxfId="44" priority="2" operator="equal">
      <formula>"да"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9"/>
  </sheetPr>
  <dimension ref="A1:M21"/>
  <sheetViews>
    <sheetView showGridLines="0" zoomScale="130" zoomScaleNormal="130" workbookViewId="0">
      <selection activeCell="F2" sqref="F2"/>
    </sheetView>
  </sheetViews>
  <sheetFormatPr baseColWidth="10" defaultColWidth="9.1640625" defaultRowHeight="16"/>
  <cols>
    <col min="1" max="1" width="16.6640625" style="195" bestFit="1" customWidth="1"/>
    <col min="2" max="2" width="12.33203125" style="195" bestFit="1" customWidth="1"/>
    <col min="3" max="3" width="13.5" style="195" bestFit="1" customWidth="1"/>
    <col min="4" max="4" width="16.5" style="195" customWidth="1"/>
    <col min="5" max="5" width="14.33203125" style="195" customWidth="1"/>
    <col min="6" max="6" width="18.33203125" style="195" customWidth="1"/>
    <col min="7" max="16384" width="9.1640625" style="195"/>
  </cols>
  <sheetData>
    <row r="1" spans="1:13" ht="32">
      <c r="A1" s="119" t="s">
        <v>105</v>
      </c>
      <c r="B1" s="119" t="s">
        <v>106</v>
      </c>
      <c r="C1" s="119" t="s">
        <v>107</v>
      </c>
      <c r="D1" s="119" t="s">
        <v>708</v>
      </c>
      <c r="E1" s="119" t="s">
        <v>364</v>
      </c>
      <c r="F1" s="119" t="s">
        <v>709</v>
      </c>
      <c r="H1" s="51" t="s">
        <v>59</v>
      </c>
      <c r="I1" s="52"/>
      <c r="J1" s="53" t="s">
        <v>60</v>
      </c>
      <c r="K1" s="52">
        <v>2</v>
      </c>
    </row>
    <row r="2" spans="1:13">
      <c r="A2" s="118" t="s">
        <v>117</v>
      </c>
      <c r="B2" s="118" t="s">
        <v>118</v>
      </c>
      <c r="C2" s="118" t="s">
        <v>119</v>
      </c>
      <c r="D2" s="118" t="str">
        <f>CONCATENATE(A2," ",LEFT(B2,1),".",LEFT(C2,1),".")</f>
        <v>Арбузова А.А.</v>
      </c>
      <c r="E2" s="118" t="s">
        <v>365</v>
      </c>
      <c r="F2" s="118" t="str">
        <f>MID(E2,2,3)</f>
        <v>454</v>
      </c>
      <c r="G2" s="248" t="s">
        <v>918</v>
      </c>
      <c r="H2" s="54"/>
      <c r="I2" s="54"/>
      <c r="J2" s="59"/>
      <c r="K2" s="60" t="s">
        <v>893</v>
      </c>
    </row>
    <row r="3" spans="1:13">
      <c r="A3" s="118" t="s">
        <v>50</v>
      </c>
      <c r="B3" s="118" t="s">
        <v>125</v>
      </c>
      <c r="C3" s="118" t="s">
        <v>126</v>
      </c>
      <c r="D3" s="118" t="str">
        <f t="shared" ref="D3:D18" si="0">CONCATENATE(A3," ",LEFT(B3,1),".",LEFT(C3,1),".")</f>
        <v>Вишнева В.В.</v>
      </c>
      <c r="E3" s="118" t="s">
        <v>366</v>
      </c>
      <c r="F3" s="118" t="str">
        <f t="shared" ref="F3:F18" si="1">MID(E3,2,3)</f>
        <v>858</v>
      </c>
      <c r="G3" s="248" t="s">
        <v>919</v>
      </c>
      <c r="H3" s="55" t="s">
        <v>932</v>
      </c>
      <c r="I3" s="56"/>
      <c r="J3" s="56"/>
      <c r="K3" s="57" t="str">
        <f t="array" ref="K3">IF(SUM(COUNTIF(F2:F18,G2:G18))=23,"ДА","НЕТ")</f>
        <v>ДА</v>
      </c>
    </row>
    <row r="4" spans="1:13">
      <c r="A4" s="118" t="s">
        <v>48</v>
      </c>
      <c r="B4" s="118" t="s">
        <v>132</v>
      </c>
      <c r="C4" s="118" t="s">
        <v>133</v>
      </c>
      <c r="D4" s="118" t="str">
        <f t="shared" si="0"/>
        <v>Дубов Д.Д.</v>
      </c>
      <c r="E4" s="118" t="s">
        <v>367</v>
      </c>
      <c r="F4" s="118" t="str">
        <f t="shared" si="1"/>
        <v>909</v>
      </c>
      <c r="G4" s="248" t="s">
        <v>920</v>
      </c>
    </row>
    <row r="5" spans="1:13">
      <c r="A5" s="118" t="s">
        <v>46</v>
      </c>
      <c r="B5" s="118" t="s">
        <v>130</v>
      </c>
      <c r="C5" s="118" t="s">
        <v>131</v>
      </c>
      <c r="D5" s="118" t="str">
        <f t="shared" si="0"/>
        <v>Дынин Д.Д.</v>
      </c>
      <c r="E5" s="118" t="s">
        <v>368</v>
      </c>
      <c r="F5" s="118" t="str">
        <f t="shared" si="1"/>
        <v>222</v>
      </c>
      <c r="G5" s="248" t="s">
        <v>921</v>
      </c>
    </row>
    <row r="6" spans="1:13">
      <c r="A6" s="118" t="s">
        <v>43</v>
      </c>
      <c r="B6" s="118" t="s">
        <v>142</v>
      </c>
      <c r="C6" s="118" t="s">
        <v>143</v>
      </c>
      <c r="D6" s="118" t="str">
        <f t="shared" si="0"/>
        <v>Зайкин З.З.</v>
      </c>
      <c r="E6" s="118" t="s">
        <v>369</v>
      </c>
      <c r="F6" s="118" t="str">
        <f t="shared" si="1"/>
        <v>555</v>
      </c>
      <c r="G6" s="248" t="s">
        <v>922</v>
      </c>
    </row>
    <row r="7" spans="1:13">
      <c r="A7" s="118" t="s">
        <v>146</v>
      </c>
      <c r="B7" s="118" t="s">
        <v>147</v>
      </c>
      <c r="C7" s="118" t="s">
        <v>148</v>
      </c>
      <c r="D7" s="118" t="str">
        <f t="shared" si="0"/>
        <v>Лимонов Л.Л.</v>
      </c>
      <c r="E7" s="118" t="s">
        <v>370</v>
      </c>
      <c r="F7" s="118" t="str">
        <f t="shared" si="1"/>
        <v>333</v>
      </c>
      <c r="G7" s="248" t="s">
        <v>923</v>
      </c>
    </row>
    <row r="8" spans="1:13">
      <c r="A8" s="118" t="s">
        <v>151</v>
      </c>
      <c r="B8" s="118" t="s">
        <v>152</v>
      </c>
      <c r="C8" s="118" t="s">
        <v>153</v>
      </c>
      <c r="D8" s="118" t="str">
        <f t="shared" si="0"/>
        <v>Мышкина М.М.</v>
      </c>
      <c r="E8" s="118" t="s">
        <v>371</v>
      </c>
      <c r="F8" s="118" t="str">
        <f t="shared" si="1"/>
        <v>656</v>
      </c>
      <c r="G8" s="248" t="s">
        <v>924</v>
      </c>
      <c r="H8" s="115"/>
      <c r="I8" s="127"/>
      <c r="J8" s="127"/>
      <c r="K8" s="120"/>
      <c r="L8" s="115"/>
      <c r="M8" s="194"/>
    </row>
    <row r="9" spans="1:13">
      <c r="A9" s="118" t="s">
        <v>38</v>
      </c>
      <c r="B9" s="118" t="s">
        <v>161</v>
      </c>
      <c r="C9" s="118" t="s">
        <v>162</v>
      </c>
      <c r="D9" s="118" t="str">
        <f t="shared" si="0"/>
        <v>Орлов О.О.</v>
      </c>
      <c r="E9" s="118" t="s">
        <v>711</v>
      </c>
      <c r="F9" s="118" t="str">
        <f t="shared" si="1"/>
        <v>101</v>
      </c>
      <c r="G9" s="248" t="s">
        <v>925</v>
      </c>
      <c r="H9" s="115"/>
      <c r="I9"/>
      <c r="J9"/>
      <c r="K9"/>
      <c r="L9"/>
      <c r="M9" s="194"/>
    </row>
    <row r="10" spans="1:13">
      <c r="A10" s="118" t="s">
        <v>36</v>
      </c>
      <c r="B10" s="118" t="s">
        <v>167</v>
      </c>
      <c r="C10" s="118" t="s">
        <v>168</v>
      </c>
      <c r="D10" s="118" t="str">
        <f t="shared" si="0"/>
        <v>Петухова П.П.</v>
      </c>
      <c r="E10" s="118" t="s">
        <v>372</v>
      </c>
      <c r="F10" s="118" t="str">
        <f t="shared" si="1"/>
        <v>757</v>
      </c>
      <c r="G10" s="248" t="s">
        <v>926</v>
      </c>
      <c r="H10" s="115"/>
      <c r="I10"/>
      <c r="J10"/>
      <c r="K10"/>
      <c r="L10"/>
      <c r="M10" s="194"/>
    </row>
    <row r="11" spans="1:13" ht="21">
      <c r="A11" s="118" t="s">
        <v>175</v>
      </c>
      <c r="B11" s="118" t="s">
        <v>167</v>
      </c>
      <c r="C11" s="118" t="s">
        <v>176</v>
      </c>
      <c r="D11" s="118" t="str">
        <f t="shared" si="0"/>
        <v>Перцева П.П.</v>
      </c>
      <c r="E11" s="118" t="s">
        <v>373</v>
      </c>
      <c r="F11" s="118" t="str">
        <f t="shared" si="1"/>
        <v>303</v>
      </c>
      <c r="G11" s="248" t="s">
        <v>927</v>
      </c>
      <c r="H11" s="115"/>
      <c r="I11" s="27"/>
      <c r="J11"/>
      <c r="K11"/>
      <c r="L11"/>
      <c r="M11" s="194"/>
    </row>
    <row r="12" spans="1:13" ht="21">
      <c r="A12" s="118" t="s">
        <v>182</v>
      </c>
      <c r="B12" s="118" t="s">
        <v>170</v>
      </c>
      <c r="C12" s="118" t="s">
        <v>171</v>
      </c>
      <c r="D12" s="118" t="str">
        <f t="shared" si="0"/>
        <v>Павианов П.П.</v>
      </c>
      <c r="E12" s="118" t="s">
        <v>712</v>
      </c>
      <c r="F12" s="118" t="str">
        <f t="shared" si="1"/>
        <v>707</v>
      </c>
      <c r="G12" s="248" t="s">
        <v>928</v>
      </c>
      <c r="H12" s="115"/>
      <c r="I12"/>
      <c r="J12" s="63"/>
      <c r="K12" s="63"/>
      <c r="L12" s="63"/>
      <c r="M12" s="194"/>
    </row>
    <row r="13" spans="1:13">
      <c r="A13" s="118" t="s">
        <v>183</v>
      </c>
      <c r="B13" s="118" t="s">
        <v>184</v>
      </c>
      <c r="C13" s="118" t="s">
        <v>185</v>
      </c>
      <c r="D13" s="118" t="str">
        <f t="shared" si="0"/>
        <v>Рогова Р.Р.</v>
      </c>
      <c r="E13" s="118" t="s">
        <v>374</v>
      </c>
      <c r="F13" s="118" t="str">
        <f t="shared" si="1"/>
        <v>777</v>
      </c>
      <c r="G13" s="248" t="s">
        <v>929</v>
      </c>
      <c r="M13" s="194"/>
    </row>
    <row r="14" spans="1:13">
      <c r="A14" s="118" t="s">
        <v>192</v>
      </c>
      <c r="B14" s="118" t="s">
        <v>193</v>
      </c>
      <c r="C14" s="118" t="s">
        <v>194</v>
      </c>
      <c r="D14" s="118" t="str">
        <f t="shared" si="0"/>
        <v>Редькин Р.Р.</v>
      </c>
      <c r="E14" s="118" t="s">
        <v>375</v>
      </c>
      <c r="F14" s="118" t="str">
        <f t="shared" si="1"/>
        <v>555</v>
      </c>
      <c r="G14" s="248" t="s">
        <v>922</v>
      </c>
      <c r="M14" s="194"/>
    </row>
    <row r="15" spans="1:13">
      <c r="A15" s="118" t="s">
        <v>200</v>
      </c>
      <c r="B15" s="118" t="s">
        <v>201</v>
      </c>
      <c r="C15" s="118" t="s">
        <v>202</v>
      </c>
      <c r="D15" s="118" t="str">
        <f t="shared" si="0"/>
        <v>Степнова С.С.</v>
      </c>
      <c r="E15" s="118" t="s">
        <v>376</v>
      </c>
      <c r="F15" s="118" t="str">
        <f t="shared" si="1"/>
        <v>333</v>
      </c>
      <c r="G15" s="248" t="s">
        <v>923</v>
      </c>
      <c r="M15" s="194"/>
    </row>
    <row r="16" spans="1:13">
      <c r="A16" s="118" t="s">
        <v>212</v>
      </c>
      <c r="B16" s="118" t="s">
        <v>213</v>
      </c>
      <c r="C16" s="118" t="s">
        <v>214</v>
      </c>
      <c r="D16" s="118" t="str">
        <f t="shared" si="0"/>
        <v>Уткина У.У.</v>
      </c>
      <c r="E16" s="118" t="s">
        <v>377</v>
      </c>
      <c r="F16" s="118" t="str">
        <f t="shared" si="1"/>
        <v>100</v>
      </c>
      <c r="G16" s="248" t="s">
        <v>930</v>
      </c>
    </row>
    <row r="17" spans="1:12">
      <c r="A17" s="118" t="s">
        <v>327</v>
      </c>
      <c r="B17" s="118" t="s">
        <v>328</v>
      </c>
      <c r="C17" s="118" t="s">
        <v>329</v>
      </c>
      <c r="D17" s="118" t="str">
        <f t="shared" si="0"/>
        <v>Удодова У.У.</v>
      </c>
      <c r="E17" s="118" t="s">
        <v>378</v>
      </c>
      <c r="F17" s="118" t="str">
        <f t="shared" si="1"/>
        <v>278</v>
      </c>
      <c r="G17" s="248" t="s">
        <v>931</v>
      </c>
      <c r="H17" s="115"/>
      <c r="I17" s="127"/>
      <c r="J17" s="127"/>
      <c r="K17" s="120"/>
      <c r="L17" s="115"/>
    </row>
    <row r="18" spans="1:12">
      <c r="A18" s="118" t="s">
        <v>221</v>
      </c>
      <c r="B18" s="118" t="s">
        <v>222</v>
      </c>
      <c r="C18" s="118" t="s">
        <v>223</v>
      </c>
      <c r="D18" s="118" t="str">
        <f t="shared" si="0"/>
        <v>Южный Ю.Ю.</v>
      </c>
      <c r="E18" s="118" t="s">
        <v>379</v>
      </c>
      <c r="F18" s="118" t="str">
        <f t="shared" si="1"/>
        <v>303</v>
      </c>
      <c r="G18" s="248" t="s">
        <v>927</v>
      </c>
      <c r="H18" s="115"/>
      <c r="I18"/>
      <c r="J18"/>
      <c r="K18"/>
      <c r="L18"/>
    </row>
    <row r="19" spans="1:12">
      <c r="H19" s="115"/>
      <c r="I19"/>
      <c r="J19"/>
      <c r="K19"/>
      <c r="L19"/>
    </row>
    <row r="20" spans="1:12" ht="21">
      <c r="H20" s="115"/>
      <c r="I20" s="27"/>
      <c r="J20"/>
      <c r="K20"/>
      <c r="L20"/>
    </row>
    <row r="21" spans="1:12" ht="21">
      <c r="D21" s="248"/>
      <c r="H21" s="115"/>
      <c r="I21"/>
      <c r="J21" s="63"/>
      <c r="K21" s="63"/>
      <c r="L21" s="63"/>
    </row>
  </sheetData>
  <conditionalFormatting sqref="K3">
    <cfRule type="cellIs" dxfId="43" priority="1" operator="equal">
      <formula>"нет"</formula>
    </cfRule>
    <cfRule type="cellIs" dxfId="42" priority="2" operator="equal">
      <formula>"да"</formula>
    </cfRule>
  </conditionalFormatting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70C0"/>
  </sheetPr>
  <dimension ref="A1:P29"/>
  <sheetViews>
    <sheetView showGridLines="0" zoomScale="115" zoomScaleNormal="115" workbookViewId="0">
      <selection activeCell="I21" sqref="I21"/>
    </sheetView>
  </sheetViews>
  <sheetFormatPr baseColWidth="10" defaultColWidth="9.1640625" defaultRowHeight="16"/>
  <cols>
    <col min="1" max="1" width="36.1640625" style="194" bestFit="1" customWidth="1"/>
    <col min="2" max="2" width="14.83203125" bestFit="1" customWidth="1"/>
    <col min="3" max="3" width="10.33203125" bestFit="1" customWidth="1"/>
    <col min="4" max="4" width="11" bestFit="1" customWidth="1"/>
    <col min="5" max="5" width="11.1640625" bestFit="1" customWidth="1"/>
    <col min="6" max="6" width="12.83203125" customWidth="1"/>
    <col min="7" max="7" width="11.83203125" customWidth="1"/>
    <col min="8" max="8" width="7.33203125" customWidth="1"/>
    <col min="9" max="9" width="7.5" style="194" customWidth="1"/>
    <col min="10" max="10" width="9.1640625" style="194"/>
    <col min="11" max="11" width="4.6640625" style="194" customWidth="1"/>
    <col min="12" max="12" width="7.6640625" style="194" customWidth="1"/>
    <col min="13" max="16384" width="9.1640625" style="194"/>
  </cols>
  <sheetData>
    <row r="1" spans="1:16">
      <c r="C1" s="194"/>
      <c r="D1" s="194"/>
      <c r="E1" s="194"/>
      <c r="J1" s="51" t="s">
        <v>59</v>
      </c>
      <c r="K1" s="52"/>
      <c r="L1" s="53" t="s">
        <v>60</v>
      </c>
      <c r="M1" s="52">
        <v>2</v>
      </c>
    </row>
    <row r="2" spans="1:16" customFormat="1">
      <c r="A2" s="85" t="s">
        <v>713</v>
      </c>
      <c r="B2" s="119" t="s">
        <v>500</v>
      </c>
      <c r="C2" s="85" t="s">
        <v>105</v>
      </c>
      <c r="D2" s="85" t="s">
        <v>106</v>
      </c>
      <c r="E2" s="85" t="s">
        <v>714</v>
      </c>
      <c r="F2" s="119" t="s">
        <v>432</v>
      </c>
      <c r="G2" s="119" t="s">
        <v>715</v>
      </c>
      <c r="H2" s="50" t="s">
        <v>432</v>
      </c>
      <c r="I2" s="50" t="s">
        <v>715</v>
      </c>
      <c r="J2" s="54"/>
      <c r="K2" s="54"/>
      <c r="L2" s="59"/>
      <c r="M2" s="60" t="s">
        <v>893</v>
      </c>
    </row>
    <row r="3" spans="1:16" customFormat="1">
      <c r="A3" s="88" t="s">
        <v>716</v>
      </c>
      <c r="B3" s="161">
        <v>0.57300000000000006</v>
      </c>
      <c r="C3" s="434" t="s">
        <v>117</v>
      </c>
      <c r="D3" s="88" t="s">
        <v>118</v>
      </c>
      <c r="E3" s="434" t="s">
        <v>1168</v>
      </c>
      <c r="F3" s="62" t="s">
        <v>933</v>
      </c>
      <c r="G3" s="161" t="str">
        <f>MID(F3,1,3)</f>
        <v>kzn</v>
      </c>
      <c r="H3" s="50" t="s">
        <v>933</v>
      </c>
      <c r="I3" s="50" t="s">
        <v>955</v>
      </c>
      <c r="J3" s="55" t="s">
        <v>958</v>
      </c>
      <c r="K3" s="56"/>
      <c r="L3" s="56"/>
      <c r="M3" s="57" t="str">
        <f t="array" ref="M3">IF(SUM(COUNTIF(F3:F24,H3:H24))=COUNTA(A3:A24),"ДА","НЕТ")</f>
        <v>ДА</v>
      </c>
    </row>
    <row r="4" spans="1:16" customFormat="1">
      <c r="A4" s="88" t="s">
        <v>717</v>
      </c>
      <c r="B4" s="161">
        <v>1.6280000000000001</v>
      </c>
      <c r="C4" s="434" t="s">
        <v>51</v>
      </c>
      <c r="D4" s="88" t="s">
        <v>123</v>
      </c>
      <c r="E4" s="434" t="s">
        <v>1169</v>
      </c>
      <c r="F4" s="62" t="s">
        <v>934</v>
      </c>
      <c r="G4" s="161" t="str">
        <f t="shared" ref="G4:G24" si="0">MID(F4,1,3)</f>
        <v>kzn</v>
      </c>
      <c r="H4" s="50" t="s">
        <v>934</v>
      </c>
      <c r="I4" s="50" t="s">
        <v>955</v>
      </c>
      <c r="J4" s="55" t="s">
        <v>959</v>
      </c>
      <c r="K4" s="56"/>
      <c r="L4" s="56"/>
      <c r="M4" s="57" t="str">
        <f t="array" ref="M4">IF(SUM(COUNTIF(G3:G24,I3:I24))=166,"ДА","НЕТ")</f>
        <v>ДА</v>
      </c>
    </row>
    <row r="5" spans="1:16" customFormat="1">
      <c r="A5" s="88" t="s">
        <v>718</v>
      </c>
      <c r="B5" s="161">
        <v>0.43</v>
      </c>
      <c r="C5" s="434" t="s">
        <v>49</v>
      </c>
      <c r="D5" s="88" t="s">
        <v>130</v>
      </c>
      <c r="E5" s="434" t="s">
        <v>1170</v>
      </c>
      <c r="F5" s="62" t="s">
        <v>935</v>
      </c>
      <c r="G5" s="161" t="str">
        <f t="shared" si="0"/>
        <v>kzn</v>
      </c>
      <c r="H5" s="50" t="s">
        <v>935</v>
      </c>
      <c r="I5" s="50" t="s">
        <v>955</v>
      </c>
    </row>
    <row r="6" spans="1:16" customFormat="1">
      <c r="A6" s="88" t="s">
        <v>719</v>
      </c>
      <c r="B6" s="161">
        <v>2.8</v>
      </c>
      <c r="C6" s="434" t="s">
        <v>46</v>
      </c>
      <c r="D6" s="88" t="s">
        <v>136</v>
      </c>
      <c r="E6" s="434" t="s">
        <v>1171</v>
      </c>
      <c r="F6" s="62" t="s">
        <v>936</v>
      </c>
      <c r="G6" s="161" t="str">
        <f t="shared" si="0"/>
        <v>kzn</v>
      </c>
      <c r="H6" s="50" t="s">
        <v>936</v>
      </c>
      <c r="I6" s="50" t="s">
        <v>955</v>
      </c>
      <c r="J6" s="58" t="s">
        <v>960</v>
      </c>
      <c r="K6" s="59"/>
      <c r="L6" s="59"/>
      <c r="M6" s="59"/>
      <c r="N6" s="60" t="s">
        <v>65</v>
      </c>
      <c r="O6" s="57" t="str">
        <f>IF(COUNTA(M3:M4)=COUNTIF(M3:M4,"ДА"),"ДА","НЕТ")</f>
        <v>ДА</v>
      </c>
    </row>
    <row r="7" spans="1:16" customFormat="1">
      <c r="A7" s="88" t="s">
        <v>720</v>
      </c>
      <c r="B7" s="161">
        <v>1.1879999999999999</v>
      </c>
      <c r="C7" s="434" t="s">
        <v>45</v>
      </c>
      <c r="D7" s="88" t="s">
        <v>138</v>
      </c>
      <c r="E7" s="434" t="s">
        <v>1172</v>
      </c>
      <c r="F7" s="62" t="s">
        <v>937</v>
      </c>
      <c r="G7" s="161" t="str">
        <f t="shared" si="0"/>
        <v>kzn</v>
      </c>
      <c r="H7" s="50" t="s">
        <v>937</v>
      </c>
      <c r="I7" s="50" t="s">
        <v>955</v>
      </c>
    </row>
    <row r="8" spans="1:16" customFormat="1">
      <c r="A8" s="88" t="s">
        <v>721</v>
      </c>
      <c r="B8" s="161">
        <v>0.13100000000000001</v>
      </c>
      <c r="C8" s="434" t="s">
        <v>43</v>
      </c>
      <c r="D8" s="88" t="s">
        <v>142</v>
      </c>
      <c r="E8" s="434" t="s">
        <v>1173</v>
      </c>
      <c r="F8" s="62" t="s">
        <v>938</v>
      </c>
      <c r="G8" s="161" t="str">
        <f t="shared" si="0"/>
        <v>kzn</v>
      </c>
      <c r="H8" s="50" t="s">
        <v>938</v>
      </c>
      <c r="I8" s="50" t="s">
        <v>955</v>
      </c>
    </row>
    <row r="9" spans="1:16" customFormat="1">
      <c r="A9" s="88" t="s">
        <v>722</v>
      </c>
      <c r="B9" s="161">
        <v>7.5</v>
      </c>
      <c r="C9" s="434" t="s">
        <v>41</v>
      </c>
      <c r="D9" s="88" t="s">
        <v>149</v>
      </c>
      <c r="E9" s="434" t="s">
        <v>1174</v>
      </c>
      <c r="F9" s="62" t="s">
        <v>939</v>
      </c>
      <c r="G9" s="161" t="str">
        <f t="shared" si="0"/>
        <v>kzn</v>
      </c>
      <c r="H9" s="50" t="s">
        <v>939</v>
      </c>
      <c r="I9" s="50" t="s">
        <v>955</v>
      </c>
    </row>
    <row r="10" spans="1:16" customFormat="1">
      <c r="A10" s="88" t="s">
        <v>723</v>
      </c>
      <c r="B10" s="161">
        <v>4.9000000000000002E-2</v>
      </c>
      <c r="C10" s="434" t="s">
        <v>40</v>
      </c>
      <c r="D10" s="88" t="s">
        <v>154</v>
      </c>
      <c r="E10" s="434" t="s">
        <v>1170</v>
      </c>
      <c r="F10" s="62" t="s">
        <v>940</v>
      </c>
      <c r="G10" s="161" t="str">
        <f t="shared" si="0"/>
        <v>msk</v>
      </c>
      <c r="H10" s="50" t="s">
        <v>940</v>
      </c>
      <c r="I10" s="50" t="s">
        <v>956</v>
      </c>
      <c r="J10" t="s">
        <v>1129</v>
      </c>
    </row>
    <row r="11" spans="1:16" customFormat="1">
      <c r="A11" s="88" t="s">
        <v>724</v>
      </c>
      <c r="B11" s="161">
        <v>0.621</v>
      </c>
      <c r="C11" s="434" t="s">
        <v>38</v>
      </c>
      <c r="D11" s="88" t="s">
        <v>161</v>
      </c>
      <c r="E11" s="434" t="s">
        <v>1175</v>
      </c>
      <c r="F11" s="62" t="s">
        <v>941</v>
      </c>
      <c r="G11" s="161" t="str">
        <f t="shared" si="0"/>
        <v>msk</v>
      </c>
      <c r="H11" s="50" t="s">
        <v>941</v>
      </c>
      <c r="I11" s="50" t="s">
        <v>956</v>
      </c>
    </row>
    <row r="12" spans="1:16" customFormat="1">
      <c r="A12" s="88" t="s">
        <v>725</v>
      </c>
      <c r="B12" s="161">
        <v>0.32300000000000001</v>
      </c>
      <c r="C12" s="434" t="s">
        <v>169</v>
      </c>
      <c r="D12" s="88" t="s">
        <v>170</v>
      </c>
      <c r="E12" s="434" t="s">
        <v>1176</v>
      </c>
      <c r="F12" s="62" t="s">
        <v>942</v>
      </c>
      <c r="G12" s="161" t="str">
        <f t="shared" si="0"/>
        <v>msk</v>
      </c>
      <c r="H12" s="50" t="s">
        <v>942</v>
      </c>
      <c r="I12" s="50" t="s">
        <v>956</v>
      </c>
    </row>
    <row r="13" spans="1:16" customFormat="1">
      <c r="A13" s="88" t="s">
        <v>726</v>
      </c>
      <c r="B13" s="161">
        <v>12.3</v>
      </c>
      <c r="C13" s="434" t="s">
        <v>175</v>
      </c>
      <c r="D13" s="88" t="s">
        <v>167</v>
      </c>
      <c r="E13" s="434" t="s">
        <v>1177</v>
      </c>
      <c r="F13" s="62" t="s">
        <v>943</v>
      </c>
      <c r="G13" s="161" t="str">
        <f t="shared" si="0"/>
        <v>msk</v>
      </c>
      <c r="H13" s="50" t="s">
        <v>943</v>
      </c>
      <c r="I13" s="50" t="s">
        <v>956</v>
      </c>
    </row>
    <row r="14" spans="1:16" customFormat="1">
      <c r="A14" s="88" t="s">
        <v>727</v>
      </c>
      <c r="B14" s="161">
        <v>1.296</v>
      </c>
      <c r="C14" s="434" t="s">
        <v>179</v>
      </c>
      <c r="D14" s="88" t="s">
        <v>180</v>
      </c>
      <c r="E14" s="434" t="s">
        <v>1178</v>
      </c>
      <c r="F14" s="62" t="s">
        <v>944</v>
      </c>
      <c r="G14" s="161" t="str">
        <f t="shared" si="0"/>
        <v>msk</v>
      </c>
      <c r="H14" s="50" t="s">
        <v>944</v>
      </c>
      <c r="I14" s="50" t="s">
        <v>956</v>
      </c>
      <c r="K14" s="195"/>
      <c r="L14" s="195"/>
      <c r="M14" s="195"/>
      <c r="N14" s="195"/>
      <c r="O14" s="195"/>
      <c r="P14" s="195"/>
    </row>
    <row r="15" spans="1:16" customFormat="1">
      <c r="A15" s="88" t="s">
        <v>728</v>
      </c>
      <c r="B15" s="161">
        <v>0.1</v>
      </c>
      <c r="C15" s="434" t="s">
        <v>182</v>
      </c>
      <c r="D15" s="88" t="s">
        <v>170</v>
      </c>
      <c r="E15" s="434" t="s">
        <v>1179</v>
      </c>
      <c r="F15" s="62" t="s">
        <v>945</v>
      </c>
      <c r="G15" s="161" t="str">
        <f t="shared" si="0"/>
        <v>msk</v>
      </c>
      <c r="H15" s="50" t="s">
        <v>945</v>
      </c>
      <c r="I15" s="50" t="s">
        <v>956</v>
      </c>
      <c r="K15" s="195"/>
      <c r="L15" s="195"/>
      <c r="M15" s="195"/>
      <c r="N15" s="195"/>
      <c r="O15" s="195"/>
      <c r="P15" s="195"/>
    </row>
    <row r="16" spans="1:16" customFormat="1">
      <c r="A16" s="88" t="s">
        <v>729</v>
      </c>
      <c r="B16" s="161">
        <v>0.39400000000000002</v>
      </c>
      <c r="C16" s="434" t="s">
        <v>186</v>
      </c>
      <c r="D16" s="88" t="s">
        <v>187</v>
      </c>
      <c r="E16" s="434" t="s">
        <v>1180</v>
      </c>
      <c r="F16" s="62" t="s">
        <v>946</v>
      </c>
      <c r="G16" s="161" t="str">
        <f t="shared" si="0"/>
        <v>msk</v>
      </c>
      <c r="H16" s="50" t="s">
        <v>946</v>
      </c>
      <c r="I16" s="50" t="s">
        <v>956</v>
      </c>
      <c r="K16" s="195"/>
      <c r="L16" s="195"/>
      <c r="M16" s="195"/>
      <c r="N16" s="195"/>
      <c r="O16" s="195"/>
      <c r="P16" s="195"/>
    </row>
    <row r="17" spans="1:16" customFormat="1">
      <c r="A17" s="88" t="s">
        <v>730</v>
      </c>
      <c r="B17" s="161">
        <v>0.60699999999999998</v>
      </c>
      <c r="C17" s="434" t="s">
        <v>196</v>
      </c>
      <c r="D17" s="88" t="s">
        <v>197</v>
      </c>
      <c r="E17" s="434" t="s">
        <v>1170</v>
      </c>
      <c r="F17" s="62" t="s">
        <v>947</v>
      </c>
      <c r="G17" s="161" t="str">
        <f t="shared" si="0"/>
        <v>msk</v>
      </c>
      <c r="H17" s="50" t="s">
        <v>947</v>
      </c>
      <c r="I17" s="50" t="s">
        <v>956</v>
      </c>
      <c r="K17" s="115"/>
      <c r="L17" s="127"/>
      <c r="M17" s="127"/>
      <c r="N17" s="120"/>
      <c r="O17" s="115"/>
      <c r="P17" s="194"/>
    </row>
    <row r="18" spans="1:16" customFormat="1">
      <c r="A18" s="88" t="s">
        <v>731</v>
      </c>
      <c r="B18" s="161">
        <v>0.621</v>
      </c>
      <c r="C18" s="434" t="s">
        <v>203</v>
      </c>
      <c r="D18" s="88" t="s">
        <v>204</v>
      </c>
      <c r="E18" s="434" t="s">
        <v>1181</v>
      </c>
      <c r="F18" s="62" t="s">
        <v>948</v>
      </c>
      <c r="G18" s="161" t="str">
        <f t="shared" si="0"/>
        <v>msk</v>
      </c>
      <c r="H18" s="50" t="s">
        <v>948</v>
      </c>
      <c r="I18" s="50" t="s">
        <v>956</v>
      </c>
      <c r="K18" s="115"/>
      <c r="P18" s="194"/>
    </row>
    <row r="19" spans="1:16" customFormat="1">
      <c r="A19" s="88" t="s">
        <v>732</v>
      </c>
      <c r="B19" s="161">
        <v>1.6280000000000001</v>
      </c>
      <c r="C19" s="434" t="s">
        <v>324</v>
      </c>
      <c r="D19" s="88" t="s">
        <v>325</v>
      </c>
      <c r="E19" s="434" t="s">
        <v>1182</v>
      </c>
      <c r="F19" s="62" t="s">
        <v>949</v>
      </c>
      <c r="G19" s="161" t="str">
        <f t="shared" si="0"/>
        <v>spb</v>
      </c>
      <c r="H19" s="50" t="s">
        <v>949</v>
      </c>
      <c r="I19" s="50" t="s">
        <v>957</v>
      </c>
      <c r="K19" s="115"/>
      <c r="P19" s="194"/>
    </row>
    <row r="20" spans="1:16" customFormat="1" ht="21">
      <c r="A20" s="88" t="s">
        <v>733</v>
      </c>
      <c r="B20" s="161">
        <v>2.8</v>
      </c>
      <c r="C20" s="434" t="s">
        <v>215</v>
      </c>
      <c r="D20" s="88" t="s">
        <v>216</v>
      </c>
      <c r="E20" s="434" t="s">
        <v>1174</v>
      </c>
      <c r="F20" s="62" t="s">
        <v>950</v>
      </c>
      <c r="G20" s="161" t="str">
        <f t="shared" si="0"/>
        <v>spb</v>
      </c>
      <c r="H20" s="50" t="s">
        <v>950</v>
      </c>
      <c r="I20" s="50" t="s">
        <v>957</v>
      </c>
      <c r="K20" s="115"/>
      <c r="L20" s="27"/>
      <c r="P20" s="194"/>
    </row>
    <row r="21" spans="1:16" customFormat="1">
      <c r="A21" s="88" t="s">
        <v>734</v>
      </c>
      <c r="B21" s="161">
        <v>7.5</v>
      </c>
      <c r="C21" s="434" t="s">
        <v>330</v>
      </c>
      <c r="D21" s="88" t="s">
        <v>331</v>
      </c>
      <c r="E21" s="434" t="s">
        <v>1183</v>
      </c>
      <c r="F21" s="62" t="s">
        <v>951</v>
      </c>
      <c r="G21" s="161" t="str">
        <f t="shared" si="0"/>
        <v>spb</v>
      </c>
      <c r="H21" s="50" t="s">
        <v>951</v>
      </c>
      <c r="I21" s="50" t="s">
        <v>957</v>
      </c>
    </row>
    <row r="22" spans="1:16" customFormat="1">
      <c r="A22" s="88" t="s">
        <v>735</v>
      </c>
      <c r="B22" s="161">
        <v>1.296</v>
      </c>
      <c r="C22" s="434" t="s">
        <v>221</v>
      </c>
      <c r="D22" s="88" t="s">
        <v>222</v>
      </c>
      <c r="E22" s="434" t="s">
        <v>1172</v>
      </c>
      <c r="F22" s="62" t="s">
        <v>952</v>
      </c>
      <c r="G22" s="161" t="str">
        <f t="shared" si="0"/>
        <v>spb</v>
      </c>
      <c r="H22" s="50" t="s">
        <v>952</v>
      </c>
      <c r="I22" s="50" t="s">
        <v>957</v>
      </c>
    </row>
    <row r="23" spans="1:16" customFormat="1">
      <c r="A23" s="88" t="s">
        <v>736</v>
      </c>
      <c r="B23" s="161">
        <v>0.621</v>
      </c>
      <c r="C23" s="434" t="s">
        <v>227</v>
      </c>
      <c r="D23" s="88" t="s">
        <v>228</v>
      </c>
      <c r="E23" s="434" t="s">
        <v>1168</v>
      </c>
      <c r="F23" s="62" t="s">
        <v>953</v>
      </c>
      <c r="G23" s="161" t="str">
        <f t="shared" si="0"/>
        <v>spb</v>
      </c>
      <c r="H23" s="50" t="s">
        <v>953</v>
      </c>
      <c r="I23" s="50" t="s">
        <v>957</v>
      </c>
    </row>
    <row r="24" spans="1:16" customFormat="1">
      <c r="A24" s="88" t="s">
        <v>737</v>
      </c>
      <c r="B24" s="161">
        <v>2.8</v>
      </c>
      <c r="C24" s="434" t="s">
        <v>230</v>
      </c>
      <c r="D24" s="88" t="s">
        <v>231</v>
      </c>
      <c r="E24" s="434" t="s">
        <v>1184</v>
      </c>
      <c r="F24" s="62" t="s">
        <v>954</v>
      </c>
      <c r="G24" s="161" t="str">
        <f t="shared" si="0"/>
        <v>spb</v>
      </c>
      <c r="H24" s="50" t="s">
        <v>954</v>
      </c>
      <c r="I24" s="50" t="s">
        <v>957</v>
      </c>
    </row>
    <row r="25" spans="1:16">
      <c r="B25" s="194"/>
      <c r="C25" s="194"/>
      <c r="D25" s="194"/>
      <c r="E25" s="194"/>
      <c r="F25" s="194"/>
      <c r="G25" s="194"/>
    </row>
    <row r="26" spans="1:16">
      <c r="B26" s="194"/>
      <c r="C26" s="194"/>
      <c r="D26" s="194"/>
      <c r="E26" s="194"/>
      <c r="F26" s="194"/>
      <c r="G26" s="194"/>
    </row>
    <row r="27" spans="1:16">
      <c r="B27" s="194"/>
      <c r="C27" s="194"/>
      <c r="D27" s="194"/>
      <c r="E27" s="194"/>
      <c r="F27" s="194"/>
      <c r="G27" s="194"/>
    </row>
    <row r="28" spans="1:16">
      <c r="B28" s="194"/>
      <c r="C28" s="194"/>
      <c r="D28" s="194"/>
      <c r="E28" s="194"/>
      <c r="F28" s="194"/>
      <c r="G28" s="194"/>
    </row>
    <row r="29" spans="1:16">
      <c r="B29" s="194"/>
      <c r="C29" s="194"/>
      <c r="D29" s="194"/>
      <c r="E29" s="194"/>
      <c r="F29" s="194"/>
      <c r="G29" s="194"/>
    </row>
  </sheetData>
  <conditionalFormatting sqref="M3">
    <cfRule type="cellIs" dxfId="41" priority="5" operator="equal">
      <formula>"нет"</formula>
    </cfRule>
    <cfRule type="cellIs" dxfId="40" priority="6" operator="equal">
      <formula>"да"</formula>
    </cfRule>
  </conditionalFormatting>
  <conditionalFormatting sqref="M4">
    <cfRule type="cellIs" dxfId="39" priority="3" operator="equal">
      <formula>"нет"</formula>
    </cfRule>
    <cfRule type="cellIs" dxfId="38" priority="4" operator="equal">
      <formula>"да"</formula>
    </cfRule>
  </conditionalFormatting>
  <conditionalFormatting sqref="O6">
    <cfRule type="cellIs" dxfId="37" priority="1" operator="equal">
      <formula>"нет"</formula>
    </cfRule>
    <cfRule type="cellIs" dxfId="36" priority="2" operator="equal">
      <formula>"да"</formula>
    </cfRule>
  </conditionalFormatting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8" tint="-0.249977111117893"/>
  </sheetPr>
  <dimension ref="A1:L22"/>
  <sheetViews>
    <sheetView zoomScale="110" zoomScaleNormal="110" workbookViewId="0">
      <selection activeCell="K6" sqref="K6"/>
    </sheetView>
  </sheetViews>
  <sheetFormatPr baseColWidth="10" defaultColWidth="37.5" defaultRowHeight="15"/>
  <cols>
    <col min="1" max="1" width="32.6640625" style="204" bestFit="1" customWidth="1"/>
    <col min="2" max="4" width="12.33203125" style="204" customWidth="1"/>
    <col min="5" max="5" width="4.83203125" style="204" bestFit="1" customWidth="1"/>
    <col min="6" max="6" width="24.33203125" style="204" bestFit="1" customWidth="1"/>
    <col min="7" max="7" width="27.6640625" style="204" bestFit="1" customWidth="1"/>
    <col min="8" max="8" width="32.1640625" style="204" customWidth="1"/>
    <col min="9" max="9" width="16.5" style="204" customWidth="1"/>
    <col min="10" max="10" width="21.1640625" style="204" customWidth="1"/>
    <col min="11" max="16384" width="37.5" style="204"/>
  </cols>
  <sheetData>
    <row r="1" spans="1:12" s="200" customFormat="1" ht="17">
      <c r="A1" s="196" t="s">
        <v>451</v>
      </c>
      <c r="B1" s="197" t="s">
        <v>105</v>
      </c>
      <c r="C1" s="197" t="s">
        <v>106</v>
      </c>
      <c r="D1" s="197" t="s">
        <v>107</v>
      </c>
      <c r="E1" s="197" t="s">
        <v>290</v>
      </c>
      <c r="F1" s="199" t="s">
        <v>452</v>
      </c>
      <c r="G1" s="199" t="s">
        <v>741</v>
      </c>
      <c r="H1" s="198" t="s">
        <v>742</v>
      </c>
      <c r="I1" s="199" t="s">
        <v>743</v>
      </c>
      <c r="J1" s="198" t="s">
        <v>744</v>
      </c>
    </row>
    <row r="2" spans="1:12" ht="16">
      <c r="A2" s="201" t="s">
        <v>745</v>
      </c>
      <c r="B2" s="201" t="s">
        <v>1185</v>
      </c>
      <c r="C2" s="201" t="s">
        <v>1186</v>
      </c>
      <c r="D2" s="201" t="s">
        <v>162</v>
      </c>
      <c r="E2" s="201" t="s">
        <v>307</v>
      </c>
      <c r="F2" s="202" t="s">
        <v>746</v>
      </c>
      <c r="G2" s="203" t="s">
        <v>748</v>
      </c>
      <c r="H2" s="435" t="s">
        <v>1195</v>
      </c>
      <c r="I2" s="203">
        <v>9035464096</v>
      </c>
      <c r="J2" s="17" t="s">
        <v>1115</v>
      </c>
      <c r="L2" s="249" t="s">
        <v>1115</v>
      </c>
    </row>
    <row r="3" spans="1:12" ht="16">
      <c r="A3" s="201" t="s">
        <v>749</v>
      </c>
      <c r="B3" s="201" t="s">
        <v>218</v>
      </c>
      <c r="C3" s="201" t="s">
        <v>132</v>
      </c>
      <c r="D3" s="201" t="s">
        <v>198</v>
      </c>
      <c r="E3" s="201" t="s">
        <v>307</v>
      </c>
      <c r="F3" s="202" t="s">
        <v>746</v>
      </c>
      <c r="G3" s="203" t="s">
        <v>751</v>
      </c>
      <c r="H3" s="435" t="s">
        <v>1196</v>
      </c>
      <c r="I3" s="203">
        <v>9661243599</v>
      </c>
      <c r="J3" s="17" t="s">
        <v>1116</v>
      </c>
      <c r="L3" s="249" t="s">
        <v>1116</v>
      </c>
    </row>
    <row r="4" spans="1:12" ht="16">
      <c r="A4" s="201" t="s">
        <v>752</v>
      </c>
      <c r="B4" s="201" t="s">
        <v>40</v>
      </c>
      <c r="C4" s="201" t="s">
        <v>207</v>
      </c>
      <c r="D4" s="201" t="s">
        <v>171</v>
      </c>
      <c r="E4" s="201" t="s">
        <v>307</v>
      </c>
      <c r="F4" s="202" t="s">
        <v>753</v>
      </c>
      <c r="G4" s="203" t="s">
        <v>755</v>
      </c>
      <c r="H4" s="435" t="s">
        <v>1197</v>
      </c>
      <c r="I4" s="203">
        <v>4992670085</v>
      </c>
      <c r="J4" s="17" t="s">
        <v>1117</v>
      </c>
      <c r="L4" s="249" t="s">
        <v>1117</v>
      </c>
    </row>
    <row r="5" spans="1:12" ht="16">
      <c r="A5" s="201" t="s">
        <v>756</v>
      </c>
      <c r="B5" s="201" t="s">
        <v>324</v>
      </c>
      <c r="C5" s="201" t="s">
        <v>147</v>
      </c>
      <c r="D5" s="201" t="s">
        <v>160</v>
      </c>
      <c r="E5" s="201" t="s">
        <v>307</v>
      </c>
      <c r="F5" s="202" t="s">
        <v>757</v>
      </c>
      <c r="G5" s="203" t="s">
        <v>759</v>
      </c>
      <c r="H5" s="435" t="s">
        <v>1198</v>
      </c>
      <c r="I5" s="203">
        <v>9038770677</v>
      </c>
      <c r="J5" s="17" t="s">
        <v>1118</v>
      </c>
      <c r="L5" s="249" t="s">
        <v>1118</v>
      </c>
    </row>
    <row r="6" spans="1:12" ht="16">
      <c r="A6" s="201" t="s">
        <v>760</v>
      </c>
      <c r="B6" s="201" t="s">
        <v>151</v>
      </c>
      <c r="C6" s="201" t="s">
        <v>1192</v>
      </c>
      <c r="D6" s="201" t="s">
        <v>168</v>
      </c>
      <c r="E6" s="201" t="s">
        <v>310</v>
      </c>
      <c r="F6" s="202" t="s">
        <v>761</v>
      </c>
      <c r="G6" s="203" t="s">
        <v>763</v>
      </c>
      <c r="H6" s="435" t="s">
        <v>1199</v>
      </c>
      <c r="I6" s="203">
        <v>9253700676</v>
      </c>
      <c r="J6" s="17" t="s">
        <v>1119</v>
      </c>
      <c r="L6" s="249" t="s">
        <v>1119</v>
      </c>
    </row>
    <row r="7" spans="1:12" ht="16">
      <c r="A7" s="201" t="s">
        <v>764</v>
      </c>
      <c r="B7" s="201" t="s">
        <v>50</v>
      </c>
      <c r="C7" s="201" t="s">
        <v>225</v>
      </c>
      <c r="D7" s="201" t="s">
        <v>217</v>
      </c>
      <c r="E7" s="201" t="s">
        <v>310</v>
      </c>
      <c r="F7" s="202" t="s">
        <v>765</v>
      </c>
      <c r="G7" s="203" t="s">
        <v>767</v>
      </c>
      <c r="H7" s="435" t="s">
        <v>1200</v>
      </c>
      <c r="I7" s="203">
        <v>9018969589</v>
      </c>
      <c r="J7" s="17" t="s">
        <v>1120</v>
      </c>
      <c r="L7" s="249" t="s">
        <v>1120</v>
      </c>
    </row>
    <row r="8" spans="1:12" ht="16">
      <c r="A8" s="201" t="s">
        <v>768</v>
      </c>
      <c r="B8" s="201" t="s">
        <v>1187</v>
      </c>
      <c r="C8" s="201" t="s">
        <v>128</v>
      </c>
      <c r="D8" s="201" t="s">
        <v>223</v>
      </c>
      <c r="E8" s="201" t="s">
        <v>307</v>
      </c>
      <c r="F8" s="202" t="s">
        <v>765</v>
      </c>
      <c r="G8" s="203" t="s">
        <v>770</v>
      </c>
      <c r="H8" s="435" t="s">
        <v>1201</v>
      </c>
      <c r="I8" s="203">
        <v>4952227007</v>
      </c>
      <c r="J8" s="17" t="s">
        <v>1121</v>
      </c>
      <c r="L8" s="249" t="s">
        <v>1121</v>
      </c>
    </row>
    <row r="9" spans="1:12" ht="16">
      <c r="A9" s="201" t="s">
        <v>771</v>
      </c>
      <c r="B9" s="201" t="s">
        <v>1188</v>
      </c>
      <c r="C9" s="201" t="s">
        <v>187</v>
      </c>
      <c r="D9" s="201" t="s">
        <v>205</v>
      </c>
      <c r="E9" s="201" t="s">
        <v>310</v>
      </c>
      <c r="F9" s="202" t="s">
        <v>772</v>
      </c>
      <c r="G9" s="203" t="s">
        <v>774</v>
      </c>
      <c r="H9" s="435" t="s">
        <v>1202</v>
      </c>
      <c r="I9" s="203">
        <v>9035464105</v>
      </c>
      <c r="J9" s="17" t="s">
        <v>1122</v>
      </c>
      <c r="L9" s="249" t="s">
        <v>1122</v>
      </c>
    </row>
    <row r="10" spans="1:12" ht="16">
      <c r="A10" s="201" t="s">
        <v>775</v>
      </c>
      <c r="B10" s="201" t="s">
        <v>1189</v>
      </c>
      <c r="C10" s="201" t="s">
        <v>1193</v>
      </c>
      <c r="D10" s="201" t="s">
        <v>122</v>
      </c>
      <c r="E10" s="201" t="s">
        <v>307</v>
      </c>
      <c r="F10" s="202" t="s">
        <v>772</v>
      </c>
      <c r="G10" s="203" t="s">
        <v>777</v>
      </c>
      <c r="H10" s="435" t="s">
        <v>1203</v>
      </c>
      <c r="I10" s="203">
        <v>4952267623</v>
      </c>
      <c r="J10" s="17" t="s">
        <v>1123</v>
      </c>
      <c r="L10" s="249" t="s">
        <v>1123</v>
      </c>
    </row>
    <row r="11" spans="1:12" ht="16">
      <c r="A11" s="201" t="s">
        <v>778</v>
      </c>
      <c r="B11" s="201" t="s">
        <v>1190</v>
      </c>
      <c r="C11" s="201" t="s">
        <v>231</v>
      </c>
      <c r="D11" s="201" t="s">
        <v>1194</v>
      </c>
      <c r="E11" s="201" t="s">
        <v>307</v>
      </c>
      <c r="F11" s="202" t="s">
        <v>779</v>
      </c>
      <c r="G11" s="203" t="s">
        <v>781</v>
      </c>
      <c r="H11" s="435" t="s">
        <v>1204</v>
      </c>
      <c r="I11" s="203">
        <v>9665885623</v>
      </c>
      <c r="J11" s="17" t="s">
        <v>1124</v>
      </c>
      <c r="L11" s="249" t="s">
        <v>1124</v>
      </c>
    </row>
    <row r="12" spans="1:12" ht="16">
      <c r="A12" s="201" t="s">
        <v>782</v>
      </c>
      <c r="B12" s="201" t="s">
        <v>179</v>
      </c>
      <c r="C12" s="201" t="s">
        <v>193</v>
      </c>
      <c r="D12" s="201" t="s">
        <v>131</v>
      </c>
      <c r="E12" s="201" t="s">
        <v>307</v>
      </c>
      <c r="F12" s="202" t="s">
        <v>779</v>
      </c>
      <c r="G12" s="203" t="s">
        <v>784</v>
      </c>
      <c r="H12" s="435" t="s">
        <v>1205</v>
      </c>
      <c r="I12" s="203">
        <v>4995553322</v>
      </c>
      <c r="J12" s="17" t="s">
        <v>1125</v>
      </c>
      <c r="L12" s="249" t="s">
        <v>1125</v>
      </c>
    </row>
    <row r="13" spans="1:12" ht="16">
      <c r="A13" s="201" t="s">
        <v>785</v>
      </c>
      <c r="B13" s="201" t="s">
        <v>189</v>
      </c>
      <c r="C13" s="201" t="s">
        <v>170</v>
      </c>
      <c r="D13" s="201" t="s">
        <v>191</v>
      </c>
      <c r="E13" s="201" t="s">
        <v>307</v>
      </c>
      <c r="F13" s="202" t="s">
        <v>779</v>
      </c>
      <c r="G13" s="203" t="s">
        <v>787</v>
      </c>
      <c r="H13" s="435" t="s">
        <v>1206</v>
      </c>
      <c r="I13" s="203">
        <v>9035464096</v>
      </c>
      <c r="J13" s="17" t="s">
        <v>1115</v>
      </c>
      <c r="L13" s="249" t="s">
        <v>1115</v>
      </c>
    </row>
    <row r="14" spans="1:12" ht="16">
      <c r="A14" s="201" t="s">
        <v>788</v>
      </c>
      <c r="B14" s="201" t="s">
        <v>1191</v>
      </c>
      <c r="C14" s="201" t="s">
        <v>173</v>
      </c>
      <c r="D14" s="201" t="s">
        <v>133</v>
      </c>
      <c r="E14" s="201" t="s">
        <v>307</v>
      </c>
      <c r="F14" s="202" t="s">
        <v>779</v>
      </c>
      <c r="G14" s="203" t="s">
        <v>790</v>
      </c>
      <c r="H14" s="435" t="s">
        <v>1207</v>
      </c>
      <c r="I14" s="203">
        <v>9661243599</v>
      </c>
      <c r="J14" s="17" t="s">
        <v>1116</v>
      </c>
      <c r="L14" s="249" t="s">
        <v>1116</v>
      </c>
    </row>
    <row r="15" spans="1:12" ht="16">
      <c r="A15" s="201" t="s">
        <v>791</v>
      </c>
      <c r="B15" s="201" t="s">
        <v>221</v>
      </c>
      <c r="C15" s="201" t="s">
        <v>199</v>
      </c>
      <c r="D15" s="201" t="s">
        <v>208</v>
      </c>
      <c r="E15" s="201" t="s">
        <v>307</v>
      </c>
      <c r="F15" s="202" t="s">
        <v>792</v>
      </c>
      <c r="G15" s="203" t="s">
        <v>794</v>
      </c>
      <c r="H15" s="435" t="s">
        <v>1208</v>
      </c>
      <c r="I15" s="203">
        <v>4992670085</v>
      </c>
      <c r="J15" s="17" t="s">
        <v>1117</v>
      </c>
      <c r="L15" s="249" t="s">
        <v>1117</v>
      </c>
    </row>
    <row r="16" spans="1:12">
      <c r="F16" s="205"/>
      <c r="G16" s="205"/>
      <c r="H16" s="205"/>
      <c r="I16" s="205"/>
      <c r="J16" s="205"/>
    </row>
    <row r="17" spans="4:10" ht="16">
      <c r="D17" s="205"/>
      <c r="F17" s="205"/>
      <c r="G17" s="205"/>
      <c r="H17" s="51" t="s">
        <v>59</v>
      </c>
      <c r="I17" s="53" t="s">
        <v>60</v>
      </c>
      <c r="J17" s="52">
        <v>4</v>
      </c>
    </row>
    <row r="18" spans="4:10">
      <c r="D18" s="205"/>
      <c r="H18" s="54"/>
      <c r="I18" s="59"/>
      <c r="J18" s="250" t="s">
        <v>893</v>
      </c>
    </row>
    <row r="19" spans="4:10">
      <c r="D19" s="205"/>
      <c r="H19" s="55" t="s">
        <v>961</v>
      </c>
      <c r="I19" s="56"/>
      <c r="J19" s="57" t="str">
        <f t="array" ref="J19">IF(SUM(COUNTIF(J2:J15,L2:L15))=20,"ДА","НЕТ")</f>
        <v>ДА</v>
      </c>
    </row>
    <row r="20" spans="4:10">
      <c r="D20" s="205"/>
    </row>
    <row r="22" spans="4:10">
      <c r="I22" s="357" t="s">
        <v>1129</v>
      </c>
    </row>
  </sheetData>
  <conditionalFormatting sqref="J19">
    <cfRule type="cellIs" dxfId="35" priority="1" operator="equal">
      <formula>"нет"</formula>
    </cfRule>
    <cfRule type="cellIs" dxfId="34" priority="2" operator="equal">
      <formula>"да"</formula>
    </cfRule>
  </conditionalFormatting>
  <hyperlinks>
    <hyperlink ref="H2" r:id="rId1" xr:uid="{F07D1D6B-AA46-1F40-A3E9-A8D16E8707FA}"/>
    <hyperlink ref="H3" r:id="rId2" xr:uid="{606754FB-2C4F-B64D-B363-6921DE4FA2EB}"/>
    <hyperlink ref="H4" r:id="rId3" xr:uid="{3EC124E3-089E-2D48-996A-25477F00311E}"/>
    <hyperlink ref="H5" r:id="rId4" xr:uid="{2DB55E46-2358-1A40-9410-3DA1FFBAB70A}"/>
    <hyperlink ref="H6" r:id="rId5" xr:uid="{210FF06E-2C5B-0E47-ACA4-591EC3985B16}"/>
    <hyperlink ref="H7" r:id="rId6" xr:uid="{A220A670-7544-9B42-935C-BF1E50BC4981}"/>
    <hyperlink ref="H8" r:id="rId7" xr:uid="{659FB71A-ABD2-0944-9D88-D89FDDE9AB5D}"/>
    <hyperlink ref="H9" r:id="rId8" xr:uid="{1F923E13-D66B-C545-8E2B-839AC1F692A5}"/>
    <hyperlink ref="H10" r:id="rId9" xr:uid="{BF772952-9D10-FE4D-95E0-1B2895E1B765}"/>
    <hyperlink ref="H11" r:id="rId10" xr:uid="{32BAFF17-32DE-AA42-A8F0-A770E90E9106}"/>
    <hyperlink ref="H12" r:id="rId11" xr:uid="{ED6D57AB-4F31-3F46-A9B2-7B716D79F1A9}"/>
    <hyperlink ref="H13" r:id="rId12" xr:uid="{1E69B70F-3962-074A-A2D5-49D68805335F}"/>
    <hyperlink ref="H14" r:id="rId13" xr:uid="{EB4784BF-0A9B-B847-91D0-B2F655C4AA99}"/>
    <hyperlink ref="H15" r:id="rId14" xr:uid="{2029E413-CA56-C545-BF52-E603405578E8}"/>
  </hyperlinks>
  <pageMargins left="0.7" right="0.7" top="0.75" bottom="0.75" header="0.3" footer="0.3"/>
  <drawing r:id="rId15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C00000"/>
  </sheetPr>
  <dimension ref="A1:N53"/>
  <sheetViews>
    <sheetView topLeftCell="E14" workbookViewId="0">
      <selection activeCell="E41" sqref="E41"/>
    </sheetView>
  </sheetViews>
  <sheetFormatPr baseColWidth="10" defaultColWidth="37.5" defaultRowHeight="15"/>
  <cols>
    <col min="1" max="1" width="32.6640625" style="204" bestFit="1" customWidth="1"/>
    <col min="2" max="2" width="24.33203125" style="204" bestFit="1" customWidth="1"/>
    <col min="3" max="3" width="14.1640625" style="204" bestFit="1" customWidth="1"/>
    <col min="4" max="4" width="43" style="204" bestFit="1" customWidth="1"/>
    <col min="5" max="5" width="73.1640625" style="204" bestFit="1" customWidth="1"/>
    <col min="6" max="6" width="7.5" style="204" bestFit="1" customWidth="1"/>
    <col min="7" max="7" width="24.33203125" style="204" bestFit="1" customWidth="1"/>
    <col min="8" max="8" width="24.33203125" style="204" customWidth="1"/>
    <col min="9" max="9" width="14.1640625" style="204" bestFit="1" customWidth="1"/>
    <col min="10" max="10" width="43" style="204" bestFit="1" customWidth="1"/>
    <col min="11" max="11" width="27.6640625" style="204" bestFit="1" customWidth="1"/>
    <col min="12" max="12" width="32.1640625" style="204" customWidth="1"/>
    <col min="13" max="14" width="21.1640625" style="204" customWidth="1"/>
    <col min="15" max="16384" width="37.5" style="204"/>
  </cols>
  <sheetData>
    <row r="1" spans="1:14" s="200" customFormat="1" ht="34">
      <c r="A1" s="196" t="s">
        <v>451</v>
      </c>
      <c r="B1" s="197" t="s">
        <v>105</v>
      </c>
      <c r="C1" s="197" t="s">
        <v>106</v>
      </c>
      <c r="D1" s="197" t="s">
        <v>107</v>
      </c>
      <c r="E1" s="197" t="s">
        <v>290</v>
      </c>
      <c r="F1" s="198" t="s">
        <v>293</v>
      </c>
      <c r="G1" s="355" t="s">
        <v>452</v>
      </c>
      <c r="H1" s="355" t="s">
        <v>1106</v>
      </c>
      <c r="I1" s="198" t="s">
        <v>1126</v>
      </c>
      <c r="J1" s="199" t="s">
        <v>739</v>
      </c>
    </row>
    <row r="2" spans="1:14" ht="16">
      <c r="A2" s="201" t="s">
        <v>745</v>
      </c>
      <c r="B2" s="378" t="str">
        <f>МЗ!B2</f>
        <v xml:space="preserve">Ромашкин </v>
      </c>
      <c r="C2" s="212" t="s">
        <v>1186</v>
      </c>
      <c r="D2" s="212" t="s">
        <v>162</v>
      </c>
      <c r="E2" s="378" t="str">
        <f>МЗ!E2</f>
        <v>М</v>
      </c>
      <c r="F2" s="212" t="str">
        <f>LEFT(RIGHT(J2,6),3)</f>
        <v>ФИН</v>
      </c>
      <c r="G2" s="202" t="s">
        <v>746</v>
      </c>
      <c r="H2" s="202" t="s">
        <v>1163</v>
      </c>
      <c r="I2" s="202">
        <v>55000</v>
      </c>
      <c r="J2" s="203" t="s">
        <v>747</v>
      </c>
      <c r="L2" s="288">
        <v>55000</v>
      </c>
    </row>
    <row r="3" spans="1:14" ht="16">
      <c r="A3" s="201" t="s">
        <v>749</v>
      </c>
      <c r="B3" s="378" t="str">
        <f>МЗ!B3</f>
        <v>Хомяков</v>
      </c>
      <c r="C3" s="212" t="s">
        <v>132</v>
      </c>
      <c r="D3" s="212" t="s">
        <v>1209</v>
      </c>
      <c r="E3" s="378" t="str">
        <f>МЗ!E3</f>
        <v>М</v>
      </c>
      <c r="F3" s="212" t="str">
        <f t="shared" ref="F3:F15" si="0">LEFT(RIGHT(J3,6),3)</f>
        <v>ФИН</v>
      </c>
      <c r="G3" s="202" t="s">
        <v>746</v>
      </c>
      <c r="H3" s="202" t="s">
        <v>1107</v>
      </c>
      <c r="I3" s="202">
        <v>55000</v>
      </c>
      <c r="J3" s="203" t="s">
        <v>750</v>
      </c>
      <c r="L3" s="288">
        <v>55000</v>
      </c>
    </row>
    <row r="4" spans="1:14" ht="16">
      <c r="A4" s="201" t="s">
        <v>752</v>
      </c>
      <c r="B4" s="378" t="str">
        <f>МЗ!B4</f>
        <v>Мышкин</v>
      </c>
      <c r="C4" s="212" t="s">
        <v>207</v>
      </c>
      <c r="D4" s="212" t="s">
        <v>171</v>
      </c>
      <c r="E4" s="378" t="str">
        <f>МЗ!E4</f>
        <v>М</v>
      </c>
      <c r="F4" s="212" t="str">
        <f t="shared" si="0"/>
        <v>АДМ</v>
      </c>
      <c r="G4" s="202" t="s">
        <v>753</v>
      </c>
      <c r="H4" s="202" t="s">
        <v>1108</v>
      </c>
      <c r="I4" s="202">
        <v>150000</v>
      </c>
      <c r="J4" s="203" t="s">
        <v>754</v>
      </c>
      <c r="L4" s="288">
        <v>150000</v>
      </c>
    </row>
    <row r="5" spans="1:14" ht="16">
      <c r="A5" s="201" t="s">
        <v>756</v>
      </c>
      <c r="B5" s="378" t="str">
        <f>МЗ!B5</f>
        <v>Удодов</v>
      </c>
      <c r="C5" s="212" t="s">
        <v>147</v>
      </c>
      <c r="D5" s="212" t="s">
        <v>160</v>
      </c>
      <c r="E5" s="378" t="str">
        <f>МЗ!E5</f>
        <v>М</v>
      </c>
      <c r="F5" s="212" t="str">
        <f t="shared" si="0"/>
        <v>ФИН</v>
      </c>
      <c r="G5" s="202" t="s">
        <v>757</v>
      </c>
      <c r="H5" s="202" t="s">
        <v>1109</v>
      </c>
      <c r="I5" s="202">
        <v>100000</v>
      </c>
      <c r="J5" s="203" t="s">
        <v>758</v>
      </c>
      <c r="L5" s="288">
        <v>100000</v>
      </c>
    </row>
    <row r="6" spans="1:14" ht="16">
      <c r="A6" s="201" t="s">
        <v>760</v>
      </c>
      <c r="B6" s="378" t="str">
        <f>МЗ!B6</f>
        <v>Мышкина</v>
      </c>
      <c r="C6" s="212" t="s">
        <v>1192</v>
      </c>
      <c r="D6" s="212" t="s">
        <v>168</v>
      </c>
      <c r="E6" s="378" t="str">
        <f>МЗ!E6</f>
        <v>Ж</v>
      </c>
      <c r="F6" s="212" t="str">
        <f t="shared" si="0"/>
        <v>АДМ</v>
      </c>
      <c r="G6" s="202" t="s">
        <v>761</v>
      </c>
      <c r="H6" s="202" t="s">
        <v>1162</v>
      </c>
      <c r="I6" s="202">
        <v>90000</v>
      </c>
      <c r="J6" s="203" t="s">
        <v>762</v>
      </c>
      <c r="L6" s="288">
        <v>90000</v>
      </c>
    </row>
    <row r="7" spans="1:14" ht="16">
      <c r="A7" s="201" t="s">
        <v>764</v>
      </c>
      <c r="B7" s="378" t="str">
        <f>МЗ!B7</f>
        <v>Вишнева</v>
      </c>
      <c r="C7" s="212" t="s">
        <v>225</v>
      </c>
      <c r="D7" s="212" t="s">
        <v>217</v>
      </c>
      <c r="E7" s="378" t="str">
        <f>МЗ!E7</f>
        <v>Ж</v>
      </c>
      <c r="F7" s="212" t="str">
        <f t="shared" si="0"/>
        <v>ОТД</v>
      </c>
      <c r="G7" s="202" t="s">
        <v>765</v>
      </c>
      <c r="H7" s="202" t="s">
        <v>1110</v>
      </c>
      <c r="I7" s="202">
        <v>40000</v>
      </c>
      <c r="J7" s="203" t="s">
        <v>766</v>
      </c>
      <c r="L7" s="288">
        <v>40000</v>
      </c>
    </row>
    <row r="8" spans="1:14" ht="16">
      <c r="A8" s="201" t="s">
        <v>768</v>
      </c>
      <c r="B8" s="378" t="str">
        <f>МЗ!B8</f>
        <v>ЯБЛОКОВ</v>
      </c>
      <c r="C8" s="212" t="s">
        <v>128</v>
      </c>
      <c r="D8" s="212" t="s">
        <v>223</v>
      </c>
      <c r="E8" s="378" t="str">
        <f>МЗ!E8</f>
        <v>М</v>
      </c>
      <c r="F8" s="212" t="str">
        <f t="shared" si="0"/>
        <v>ЛОГ</v>
      </c>
      <c r="G8" s="202" t="s">
        <v>765</v>
      </c>
      <c r="H8" s="202" t="s">
        <v>1165</v>
      </c>
      <c r="I8" s="202">
        <v>40000</v>
      </c>
      <c r="J8" s="203" t="s">
        <v>769</v>
      </c>
      <c r="L8" s="288">
        <v>40000</v>
      </c>
    </row>
    <row r="9" spans="1:14" ht="16">
      <c r="A9" s="201" t="s">
        <v>771</v>
      </c>
      <c r="B9" s="378" t="str">
        <f>МЗ!B9</f>
        <v>Дынина</v>
      </c>
      <c r="C9" s="212" t="s">
        <v>187</v>
      </c>
      <c r="D9" s="212" t="s">
        <v>205</v>
      </c>
      <c r="E9" s="378" t="str">
        <f>МЗ!E9</f>
        <v>Ж</v>
      </c>
      <c r="F9" s="212" t="str">
        <f t="shared" si="0"/>
        <v>ОТД</v>
      </c>
      <c r="G9" s="202" t="s">
        <v>772</v>
      </c>
      <c r="H9" s="202" t="s">
        <v>1111</v>
      </c>
      <c r="I9" s="202">
        <v>90000</v>
      </c>
      <c r="J9" s="203" t="s">
        <v>773</v>
      </c>
      <c r="L9" s="288">
        <v>90000</v>
      </c>
    </row>
    <row r="10" spans="1:14" ht="16">
      <c r="A10" s="201" t="s">
        <v>775</v>
      </c>
      <c r="B10" s="378" t="str">
        <f>МЗ!B10</f>
        <v>лимонов</v>
      </c>
      <c r="C10" s="212" t="s">
        <v>1193</v>
      </c>
      <c r="D10" s="212" t="s">
        <v>1210</v>
      </c>
      <c r="E10" s="378" t="str">
        <f>МЗ!E10</f>
        <v>М</v>
      </c>
      <c r="F10" s="212" t="str">
        <f t="shared" si="0"/>
        <v>ЛОГ</v>
      </c>
      <c r="G10" s="202" t="s">
        <v>772</v>
      </c>
      <c r="H10" s="202" t="s">
        <v>1112</v>
      </c>
      <c r="I10" s="202">
        <v>90000</v>
      </c>
      <c r="J10" s="203" t="s">
        <v>776</v>
      </c>
      <c r="L10" s="288">
        <v>90000</v>
      </c>
    </row>
    <row r="11" spans="1:14" ht="16">
      <c r="A11" s="201" t="s">
        <v>778</v>
      </c>
      <c r="B11" s="378" t="str">
        <f>МЗ!B11</f>
        <v>ВИШНЕВ</v>
      </c>
      <c r="C11" s="212" t="s">
        <v>231</v>
      </c>
      <c r="D11" s="212" t="s">
        <v>1194</v>
      </c>
      <c r="E11" s="378" t="str">
        <f>МЗ!E11</f>
        <v>М</v>
      </c>
      <c r="F11" s="212" t="str">
        <f t="shared" si="0"/>
        <v>ЛОГ</v>
      </c>
      <c r="G11" s="202" t="s">
        <v>779</v>
      </c>
      <c r="H11" s="202" t="s">
        <v>1114</v>
      </c>
      <c r="I11" s="202">
        <v>50000</v>
      </c>
      <c r="J11" s="203" t="s">
        <v>780</v>
      </c>
      <c r="L11" s="288">
        <v>50000</v>
      </c>
    </row>
    <row r="12" spans="1:14" ht="16">
      <c r="A12" s="201" t="s">
        <v>782</v>
      </c>
      <c r="B12" s="378" t="str">
        <f>МЗ!B12</f>
        <v>Птицин</v>
      </c>
      <c r="C12" s="212" t="s">
        <v>193</v>
      </c>
      <c r="D12" s="212" t="s">
        <v>131</v>
      </c>
      <c r="E12" s="378" t="str">
        <f>МЗ!E12</f>
        <v>М</v>
      </c>
      <c r="F12" s="212" t="str">
        <f t="shared" si="0"/>
        <v>ЛОГ</v>
      </c>
      <c r="G12" s="202" t="s">
        <v>779</v>
      </c>
      <c r="H12" s="202" t="s">
        <v>1114</v>
      </c>
      <c r="I12" s="202">
        <v>50000</v>
      </c>
      <c r="J12" s="203" t="s">
        <v>783</v>
      </c>
      <c r="L12" s="288">
        <v>50000</v>
      </c>
    </row>
    <row r="13" spans="1:14" ht="16">
      <c r="A13" s="201" t="s">
        <v>785</v>
      </c>
      <c r="B13" s="378" t="str">
        <f>МЗ!B13</f>
        <v>Рогов</v>
      </c>
      <c r="C13" s="212" t="s">
        <v>170</v>
      </c>
      <c r="D13" s="212" t="s">
        <v>191</v>
      </c>
      <c r="E13" s="378" t="str">
        <f>МЗ!E13</f>
        <v>М</v>
      </c>
      <c r="F13" s="212" t="str">
        <f t="shared" si="0"/>
        <v>ЛОГ</v>
      </c>
      <c r="G13" s="202" t="s">
        <v>779</v>
      </c>
      <c r="H13" s="202" t="s">
        <v>1114</v>
      </c>
      <c r="I13" s="202">
        <v>50000</v>
      </c>
      <c r="J13" s="203" t="s">
        <v>786</v>
      </c>
      <c r="L13" s="288">
        <v>50000</v>
      </c>
    </row>
    <row r="14" spans="1:14" ht="16">
      <c r="A14" s="201" t="s">
        <v>788</v>
      </c>
      <c r="B14" s="378" t="str">
        <f>МЗ!B14</f>
        <v>СТЕПНОВ</v>
      </c>
      <c r="C14" s="212" t="s">
        <v>173</v>
      </c>
      <c r="D14" s="212" t="s">
        <v>133</v>
      </c>
      <c r="E14" s="378" t="str">
        <f>МЗ!E14</f>
        <v>М</v>
      </c>
      <c r="F14" s="212" t="str">
        <f t="shared" si="0"/>
        <v>ОТД</v>
      </c>
      <c r="G14" s="202" t="s">
        <v>779</v>
      </c>
      <c r="H14" s="202" t="s">
        <v>1164</v>
      </c>
      <c r="I14" s="202">
        <v>50000</v>
      </c>
      <c r="J14" s="203" t="s">
        <v>789</v>
      </c>
      <c r="L14" s="288">
        <v>50000</v>
      </c>
    </row>
    <row r="15" spans="1:14" ht="16">
      <c r="A15" s="201" t="s">
        <v>791</v>
      </c>
      <c r="B15" s="378" t="str">
        <f>МЗ!B15</f>
        <v>Южный</v>
      </c>
      <c r="C15" s="212" t="s">
        <v>199</v>
      </c>
      <c r="D15" s="212" t="s">
        <v>208</v>
      </c>
      <c r="E15" s="378" t="str">
        <f>МЗ!E15</f>
        <v>М</v>
      </c>
      <c r="F15" s="212" t="str">
        <f t="shared" si="0"/>
        <v>АДМ</v>
      </c>
      <c r="G15" s="202" t="s">
        <v>792</v>
      </c>
      <c r="H15" s="202" t="s">
        <v>1113</v>
      </c>
      <c r="I15" s="202">
        <v>95000</v>
      </c>
      <c r="J15" s="203" t="s">
        <v>793</v>
      </c>
      <c r="L15" s="288">
        <v>95000</v>
      </c>
    </row>
    <row r="16" spans="1:14">
      <c r="G16" s="205"/>
      <c r="H16" s="205"/>
      <c r="I16" s="205"/>
      <c r="J16" s="205"/>
      <c r="K16" s="205"/>
      <c r="L16" s="288"/>
      <c r="M16" s="205"/>
      <c r="N16" s="205"/>
    </row>
    <row r="17" spans="1:14">
      <c r="D17" s="205"/>
      <c r="G17" s="205"/>
      <c r="H17" s="205"/>
      <c r="I17" s="205"/>
      <c r="J17" s="205"/>
      <c r="K17" s="205"/>
      <c r="L17" s="205"/>
      <c r="M17" s="205"/>
      <c r="N17" s="205"/>
    </row>
    <row r="18" spans="1:14" ht="16">
      <c r="A18" s="119" t="s">
        <v>105</v>
      </c>
      <c r="B18" s="119" t="s">
        <v>106</v>
      </c>
      <c r="C18" s="119" t="s">
        <v>107</v>
      </c>
      <c r="D18" s="119" t="s">
        <v>364</v>
      </c>
      <c r="E18" s="119" t="s">
        <v>710</v>
      </c>
    </row>
    <row r="19" spans="1:14" ht="16">
      <c r="A19" s="118" t="s">
        <v>117</v>
      </c>
      <c r="B19" s="118" t="s">
        <v>118</v>
      </c>
      <c r="C19" s="118" t="s">
        <v>119</v>
      </c>
      <c r="D19" s="118" t="s">
        <v>365</v>
      </c>
      <c r="E19" s="118" t="str">
        <f>LEFT(D19,1)&amp;RIGHT(D19,2)</f>
        <v>АМР</v>
      </c>
      <c r="F19" s="288" t="s">
        <v>1087</v>
      </c>
      <c r="G19" s="51" t="s">
        <v>59</v>
      </c>
      <c r="H19" s="51"/>
      <c r="I19" s="53" t="s">
        <v>60</v>
      </c>
      <c r="J19" s="52">
        <v>5</v>
      </c>
    </row>
    <row r="20" spans="1:14">
      <c r="A20" s="118" t="s">
        <v>50</v>
      </c>
      <c r="B20" s="118" t="s">
        <v>125</v>
      </c>
      <c r="C20" s="118" t="s">
        <v>126</v>
      </c>
      <c r="D20" s="118" t="s">
        <v>366</v>
      </c>
      <c r="E20" s="118" t="str">
        <f t="shared" ref="E20:E35" si="1">LEFT(D20,1)&amp;RIGHT(D20,2)</f>
        <v>ВОР</v>
      </c>
      <c r="F20" s="288" t="s">
        <v>1088</v>
      </c>
      <c r="G20" s="54"/>
      <c r="H20" s="54"/>
      <c r="I20" s="59"/>
      <c r="J20" s="250" t="s">
        <v>893</v>
      </c>
    </row>
    <row r="21" spans="1:14">
      <c r="A21" s="118" t="s">
        <v>48</v>
      </c>
      <c r="B21" s="118" t="s">
        <v>132</v>
      </c>
      <c r="C21" s="118" t="s">
        <v>133</v>
      </c>
      <c r="D21" s="118" t="s">
        <v>367</v>
      </c>
      <c r="E21" s="118" t="str">
        <f t="shared" si="1"/>
        <v>КОМ</v>
      </c>
      <c r="F21" s="288" t="s">
        <v>598</v>
      </c>
      <c r="G21" s="55" t="s">
        <v>961</v>
      </c>
      <c r="H21" s="56"/>
      <c r="I21" s="56"/>
      <c r="J21" s="57" t="str">
        <f t="array" ref="J21">IF(SUM(COUNTIF(I2:I15,L2:L15))=36,"ДА","НЕТ")</f>
        <v>ДА</v>
      </c>
    </row>
    <row r="22" spans="1:14">
      <c r="A22" s="118" t="s">
        <v>46</v>
      </c>
      <c r="B22" s="118" t="s">
        <v>130</v>
      </c>
      <c r="C22" s="118" t="s">
        <v>131</v>
      </c>
      <c r="D22" s="118" t="s">
        <v>368</v>
      </c>
      <c r="E22" s="118" t="str">
        <f t="shared" si="1"/>
        <v>АСР</v>
      </c>
      <c r="F22" s="288" t="s">
        <v>1089</v>
      </c>
      <c r="G22" s="55" t="s">
        <v>1103</v>
      </c>
      <c r="H22" s="56"/>
      <c r="I22" s="56"/>
      <c r="J22" s="57" t="str">
        <f t="array" ref="J22">IF(SUM(COUNTIF(E19:E35,F19:F35))=17,"ДА","НЕТ")</f>
        <v>ДА</v>
      </c>
    </row>
    <row r="23" spans="1:14">
      <c r="A23" s="118" t="s">
        <v>43</v>
      </c>
      <c r="B23" s="118" t="s">
        <v>142</v>
      </c>
      <c r="C23" s="118" t="s">
        <v>143</v>
      </c>
      <c r="D23" s="118" t="s">
        <v>369</v>
      </c>
      <c r="E23" s="118" t="str">
        <f t="shared" si="1"/>
        <v>МММ</v>
      </c>
      <c r="F23" s="288" t="s">
        <v>1090</v>
      </c>
    </row>
    <row r="24" spans="1:14">
      <c r="A24" s="118" t="s">
        <v>146</v>
      </c>
      <c r="B24" s="118" t="s">
        <v>147</v>
      </c>
      <c r="C24" s="118" t="s">
        <v>148</v>
      </c>
      <c r="D24" s="118" t="s">
        <v>370</v>
      </c>
      <c r="E24" s="118" t="str">
        <f t="shared" si="1"/>
        <v>ТУТ</v>
      </c>
      <c r="F24" s="288" t="s">
        <v>1091</v>
      </c>
    </row>
    <row r="25" spans="1:14">
      <c r="A25" s="118" t="s">
        <v>151</v>
      </c>
      <c r="B25" s="118" t="s">
        <v>152</v>
      </c>
      <c r="C25" s="118" t="s">
        <v>153</v>
      </c>
      <c r="D25" s="118" t="s">
        <v>371</v>
      </c>
      <c r="E25" s="118" t="str">
        <f t="shared" si="1"/>
        <v>ТАМ</v>
      </c>
      <c r="F25" s="288" t="s">
        <v>1092</v>
      </c>
    </row>
    <row r="26" spans="1:14">
      <c r="A26" s="118" t="s">
        <v>38</v>
      </c>
      <c r="B26" s="118" t="s">
        <v>161</v>
      </c>
      <c r="C26" s="118" t="s">
        <v>162</v>
      </c>
      <c r="D26" s="118" t="s">
        <v>711</v>
      </c>
      <c r="E26" s="118" t="str">
        <f t="shared" si="1"/>
        <v>СОС</v>
      </c>
      <c r="F26" s="288" t="s">
        <v>1093</v>
      </c>
    </row>
    <row r="27" spans="1:14">
      <c r="A27" s="118" t="s">
        <v>36</v>
      </c>
      <c r="B27" s="118" t="s">
        <v>167</v>
      </c>
      <c r="C27" s="118" t="s">
        <v>168</v>
      </c>
      <c r="D27" s="118" t="s">
        <v>372</v>
      </c>
      <c r="E27" s="118" t="str">
        <f t="shared" si="1"/>
        <v>КОТ</v>
      </c>
      <c r="F27" s="288" t="s">
        <v>1094</v>
      </c>
    </row>
    <row r="28" spans="1:14">
      <c r="A28" s="118" t="s">
        <v>175</v>
      </c>
      <c r="B28" s="118" t="s">
        <v>167</v>
      </c>
      <c r="C28" s="118" t="s">
        <v>176</v>
      </c>
      <c r="D28" s="118" t="s">
        <v>373</v>
      </c>
      <c r="E28" s="118" t="str">
        <f t="shared" si="1"/>
        <v>МРУ</v>
      </c>
      <c r="F28" s="288" t="s">
        <v>1095</v>
      </c>
    </row>
    <row r="29" spans="1:14">
      <c r="A29" s="118" t="s">
        <v>182</v>
      </c>
      <c r="B29" s="118" t="s">
        <v>170</v>
      </c>
      <c r="C29" s="118" t="s">
        <v>171</v>
      </c>
      <c r="D29" s="118" t="s">
        <v>712</v>
      </c>
      <c r="E29" s="118" t="str">
        <f t="shared" si="1"/>
        <v>МНУ</v>
      </c>
      <c r="F29" s="288" t="s">
        <v>1096</v>
      </c>
    </row>
    <row r="30" spans="1:14">
      <c r="A30" s="118" t="s">
        <v>183</v>
      </c>
      <c r="B30" s="118" t="s">
        <v>184</v>
      </c>
      <c r="C30" s="118" t="s">
        <v>185</v>
      </c>
      <c r="D30" s="118" t="s">
        <v>374</v>
      </c>
      <c r="E30" s="118" t="str">
        <f t="shared" si="1"/>
        <v>ООО</v>
      </c>
      <c r="F30" s="288" t="s">
        <v>1097</v>
      </c>
    </row>
    <row r="31" spans="1:14">
      <c r="A31" s="118" t="s">
        <v>192</v>
      </c>
      <c r="B31" s="118" t="s">
        <v>193</v>
      </c>
      <c r="C31" s="118" t="s">
        <v>194</v>
      </c>
      <c r="D31" s="118" t="s">
        <v>375</v>
      </c>
      <c r="E31" s="118" t="str">
        <f t="shared" si="1"/>
        <v>ААА</v>
      </c>
      <c r="F31" s="288" t="s">
        <v>1098</v>
      </c>
    </row>
    <row r="32" spans="1:14">
      <c r="A32" s="118" t="s">
        <v>200</v>
      </c>
      <c r="B32" s="118" t="s">
        <v>201</v>
      </c>
      <c r="C32" s="118" t="s">
        <v>202</v>
      </c>
      <c r="D32" s="118" t="s">
        <v>376</v>
      </c>
      <c r="E32" s="118" t="str">
        <f t="shared" si="1"/>
        <v>НОХ</v>
      </c>
      <c r="F32" s="288" t="s">
        <v>1099</v>
      </c>
    </row>
    <row r="33" spans="1:8">
      <c r="A33" s="118" t="s">
        <v>212</v>
      </c>
      <c r="B33" s="118" t="s">
        <v>213</v>
      </c>
      <c r="C33" s="118" t="s">
        <v>214</v>
      </c>
      <c r="D33" s="118" t="s">
        <v>377</v>
      </c>
      <c r="E33" s="118" t="str">
        <f t="shared" si="1"/>
        <v>РОТ</v>
      </c>
      <c r="F33" s="288" t="s">
        <v>1100</v>
      </c>
    </row>
    <row r="34" spans="1:8">
      <c r="A34" s="118" t="s">
        <v>327</v>
      </c>
      <c r="B34" s="118" t="s">
        <v>328</v>
      </c>
      <c r="C34" s="118" t="s">
        <v>329</v>
      </c>
      <c r="D34" s="118" t="s">
        <v>378</v>
      </c>
      <c r="E34" s="118" t="str">
        <f t="shared" si="1"/>
        <v>РСХ</v>
      </c>
      <c r="F34" s="288" t="s">
        <v>1101</v>
      </c>
    </row>
    <row r="35" spans="1:8">
      <c r="A35" s="118" t="s">
        <v>221</v>
      </c>
      <c r="B35" s="118" t="s">
        <v>222</v>
      </c>
      <c r="C35" s="118" t="s">
        <v>223</v>
      </c>
      <c r="D35" s="118" t="s">
        <v>379</v>
      </c>
      <c r="E35" s="118" t="str">
        <f t="shared" si="1"/>
        <v>ЕОС</v>
      </c>
      <c r="F35" s="288" t="s">
        <v>1102</v>
      </c>
    </row>
    <row r="37" spans="1:8" ht="30" customHeight="1">
      <c r="G37" s="354" t="s">
        <v>1105</v>
      </c>
    </row>
    <row r="38" spans="1:8">
      <c r="G38" s="204" t="s">
        <v>1029</v>
      </c>
    </row>
    <row r="39" spans="1:8" ht="17">
      <c r="A39" s="196" t="s">
        <v>451</v>
      </c>
      <c r="B39" s="199" t="s">
        <v>452</v>
      </c>
      <c r="C39" s="198" t="s">
        <v>738</v>
      </c>
      <c r="D39" s="199" t="s">
        <v>739</v>
      </c>
      <c r="E39" s="198" t="s">
        <v>740</v>
      </c>
      <c r="H39" s="354"/>
    </row>
    <row r="40" spans="1:8" ht="16">
      <c r="A40" s="201" t="s">
        <v>745</v>
      </c>
      <c r="B40" s="202" t="s">
        <v>746</v>
      </c>
      <c r="C40" s="353">
        <v>40777</v>
      </c>
      <c r="D40" s="203" t="s">
        <v>747</v>
      </c>
      <c r="E40" s="204" t="s">
        <v>1029</v>
      </c>
    </row>
    <row r="41" spans="1:8" ht="16">
      <c r="A41" s="201" t="s">
        <v>749</v>
      </c>
      <c r="B41" s="202" t="s">
        <v>746</v>
      </c>
      <c r="C41" s="353">
        <v>36177</v>
      </c>
      <c r="D41" s="203" t="s">
        <v>750</v>
      </c>
      <c r="E41" s="203" t="s">
        <v>1211</v>
      </c>
    </row>
    <row r="42" spans="1:8" ht="16">
      <c r="A42" s="201" t="s">
        <v>752</v>
      </c>
      <c r="B42" s="202" t="s">
        <v>753</v>
      </c>
      <c r="C42" s="353">
        <v>39311</v>
      </c>
      <c r="D42" s="203" t="s">
        <v>754</v>
      </c>
      <c r="E42" s="203" t="s">
        <v>1212</v>
      </c>
    </row>
    <row r="43" spans="1:8" ht="16">
      <c r="A43" s="201" t="s">
        <v>756</v>
      </c>
      <c r="B43" s="202" t="s">
        <v>757</v>
      </c>
      <c r="C43" s="353">
        <v>41718</v>
      </c>
      <c r="D43" s="203" t="s">
        <v>758</v>
      </c>
      <c r="E43" s="203" t="s">
        <v>1213</v>
      </c>
    </row>
    <row r="44" spans="1:8" ht="16">
      <c r="A44" s="201" t="s">
        <v>760</v>
      </c>
      <c r="B44" s="202" t="s">
        <v>761</v>
      </c>
      <c r="C44" s="353">
        <v>36252</v>
      </c>
      <c r="D44" s="203" t="s">
        <v>762</v>
      </c>
      <c r="E44" s="203" t="s">
        <v>1214</v>
      </c>
    </row>
    <row r="45" spans="1:8" ht="16">
      <c r="A45" s="201" t="s">
        <v>764</v>
      </c>
      <c r="B45" s="202" t="s">
        <v>765</v>
      </c>
      <c r="C45" s="353">
        <v>35678</v>
      </c>
      <c r="D45" s="203" t="s">
        <v>766</v>
      </c>
      <c r="E45" s="203" t="s">
        <v>1215</v>
      </c>
    </row>
    <row r="46" spans="1:8" ht="16">
      <c r="A46" s="201" t="s">
        <v>768</v>
      </c>
      <c r="B46" s="202" t="s">
        <v>765</v>
      </c>
      <c r="C46" s="353">
        <v>41001</v>
      </c>
      <c r="D46" s="203" t="s">
        <v>769</v>
      </c>
      <c r="E46" s="203" t="s">
        <v>1216</v>
      </c>
    </row>
    <row r="47" spans="1:8" ht="16">
      <c r="A47" s="201" t="s">
        <v>771</v>
      </c>
      <c r="B47" s="202" t="s">
        <v>772</v>
      </c>
      <c r="C47" s="353">
        <v>39029</v>
      </c>
      <c r="D47" s="203" t="s">
        <v>773</v>
      </c>
      <c r="E47" s="203" t="s">
        <v>1217</v>
      </c>
    </row>
    <row r="48" spans="1:8" ht="16">
      <c r="A48" s="201" t="s">
        <v>775</v>
      </c>
      <c r="B48" s="202" t="s">
        <v>772</v>
      </c>
      <c r="C48" s="353">
        <v>39234</v>
      </c>
      <c r="D48" s="203" t="s">
        <v>776</v>
      </c>
      <c r="E48" s="203" t="s">
        <v>1218</v>
      </c>
    </row>
    <row r="49" spans="1:5" ht="16">
      <c r="A49" s="201" t="s">
        <v>778</v>
      </c>
      <c r="B49" s="202" t="s">
        <v>779</v>
      </c>
      <c r="C49" s="353">
        <v>36241</v>
      </c>
      <c r="D49" s="203" t="s">
        <v>780</v>
      </c>
      <c r="E49" s="203" t="s">
        <v>1219</v>
      </c>
    </row>
    <row r="50" spans="1:5" ht="16">
      <c r="A50" s="201" t="s">
        <v>782</v>
      </c>
      <c r="B50" s="202" t="s">
        <v>779</v>
      </c>
      <c r="C50" s="353">
        <v>38826</v>
      </c>
      <c r="D50" s="203" t="s">
        <v>783</v>
      </c>
      <c r="E50" s="203" t="s">
        <v>1220</v>
      </c>
    </row>
    <row r="51" spans="1:5" ht="16">
      <c r="A51" s="201" t="s">
        <v>785</v>
      </c>
      <c r="B51" s="202" t="s">
        <v>779</v>
      </c>
      <c r="C51" s="353">
        <v>35223</v>
      </c>
      <c r="D51" s="203" t="s">
        <v>786</v>
      </c>
      <c r="E51" s="203" t="s">
        <v>1221</v>
      </c>
    </row>
    <row r="52" spans="1:5" ht="16">
      <c r="A52" s="201" t="s">
        <v>788</v>
      </c>
      <c r="B52" s="202" t="s">
        <v>779</v>
      </c>
      <c r="C52" s="353">
        <v>36012</v>
      </c>
      <c r="D52" s="203" t="s">
        <v>789</v>
      </c>
      <c r="E52" s="203" t="s">
        <v>1222</v>
      </c>
    </row>
    <row r="53" spans="1:5" ht="16">
      <c r="A53" s="201" t="s">
        <v>791</v>
      </c>
      <c r="B53" s="202" t="s">
        <v>792</v>
      </c>
      <c r="C53" s="353">
        <v>35312</v>
      </c>
      <c r="D53" s="203" t="s">
        <v>793</v>
      </c>
      <c r="E53" s="203" t="s">
        <v>1223</v>
      </c>
    </row>
  </sheetData>
  <conditionalFormatting sqref="J22">
    <cfRule type="cellIs" dxfId="33" priority="3" operator="equal">
      <formula>"нет"</formula>
    </cfRule>
    <cfRule type="cellIs" dxfId="32" priority="4" operator="equal">
      <formula>"да"</formula>
    </cfRule>
  </conditionalFormatting>
  <conditionalFormatting sqref="J21">
    <cfRule type="cellIs" dxfId="31" priority="1" operator="equal">
      <formula>"нет"</formula>
    </cfRule>
    <cfRule type="cellIs" dxfId="30" priority="2" operator="equal">
      <formula>"да"</formula>
    </cfRule>
  </conditionalFormatting>
  <pageMargins left="0.7" right="0.7" top="0.75" bottom="0.75" header="0.3" footer="0.3"/>
  <drawing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4" tint="0.59999389629810485"/>
  </sheetPr>
  <dimension ref="A2:G18"/>
  <sheetViews>
    <sheetView zoomScale="130" zoomScaleNormal="130" workbookViewId="0">
      <selection activeCell="B21" sqref="B21"/>
    </sheetView>
  </sheetViews>
  <sheetFormatPr baseColWidth="10" defaultColWidth="8.83203125" defaultRowHeight="15"/>
  <cols>
    <col min="1" max="1" width="17.83203125" bestFit="1" customWidth="1"/>
    <col min="2" max="2" width="25.83203125" customWidth="1"/>
    <col min="3" max="3" width="11.6640625" bestFit="1" customWidth="1"/>
    <col min="4" max="4" width="15.33203125" bestFit="1" customWidth="1"/>
    <col min="6" max="6" width="10.6640625" bestFit="1" customWidth="1"/>
  </cols>
  <sheetData>
    <row r="2" spans="1:7">
      <c r="A2" s="130" t="s">
        <v>795</v>
      </c>
    </row>
    <row r="3" spans="1:7">
      <c r="A3" s="130"/>
      <c r="B3" s="427"/>
      <c r="C3" s="427"/>
      <c r="D3" s="427"/>
      <c r="E3" s="427"/>
      <c r="F3" s="427"/>
      <c r="G3" s="427"/>
    </row>
    <row r="4" spans="1:7">
      <c r="A4" s="130"/>
      <c r="B4" s="427"/>
      <c r="C4" s="427"/>
      <c r="D4" s="427"/>
      <c r="E4" s="427"/>
      <c r="F4" s="427"/>
      <c r="G4" s="427"/>
    </row>
    <row r="5" spans="1:7">
      <c r="A5" s="130" t="s">
        <v>796</v>
      </c>
      <c r="B5" s="427"/>
      <c r="C5" s="427"/>
      <c r="D5" s="427"/>
      <c r="E5" s="427"/>
      <c r="F5" s="427"/>
      <c r="G5" s="427"/>
    </row>
    <row r="6" spans="1:7">
      <c r="B6" s="427"/>
      <c r="C6" s="427"/>
      <c r="D6" s="427"/>
      <c r="E6" s="427"/>
      <c r="F6" s="427"/>
      <c r="G6" s="427"/>
    </row>
    <row r="7" spans="1:7">
      <c r="A7" s="130"/>
      <c r="B7" s="427"/>
      <c r="C7" s="427"/>
      <c r="D7" s="427"/>
      <c r="E7" s="427"/>
      <c r="F7" s="427"/>
      <c r="G7" s="427"/>
    </row>
    <row r="8" spans="1:7">
      <c r="A8" s="130" t="s">
        <v>797</v>
      </c>
      <c r="B8" s="427"/>
      <c r="C8" s="427"/>
      <c r="D8" s="427"/>
      <c r="E8" s="427"/>
      <c r="F8" s="427"/>
      <c r="G8" s="427"/>
    </row>
    <row r="9" spans="1:7">
      <c r="B9" s="427"/>
      <c r="C9" s="427"/>
      <c r="D9" s="427"/>
      <c r="E9" s="427"/>
      <c r="F9" s="427"/>
      <c r="G9" s="427"/>
    </row>
    <row r="10" spans="1:7">
      <c r="A10" s="130"/>
      <c r="B10" s="427"/>
      <c r="C10" s="427"/>
      <c r="D10" s="427"/>
      <c r="E10" s="427"/>
      <c r="F10" s="427"/>
      <c r="G10" s="427"/>
    </row>
    <row r="11" spans="1:7">
      <c r="A11" s="130" t="s">
        <v>798</v>
      </c>
      <c r="B11" s="427"/>
      <c r="C11" s="427"/>
      <c r="D11" s="427"/>
      <c r="E11" s="427"/>
      <c r="F11" s="427"/>
      <c r="G11" s="427"/>
    </row>
    <row r="12" spans="1:7">
      <c r="B12" s="427"/>
      <c r="C12" s="427"/>
      <c r="D12" s="427"/>
      <c r="E12" s="427"/>
      <c r="F12" s="427"/>
      <c r="G12" s="427"/>
    </row>
    <row r="13" spans="1:7">
      <c r="B13" s="427"/>
      <c r="C13" s="427"/>
      <c r="D13" s="427"/>
      <c r="E13" s="427"/>
      <c r="F13" s="427"/>
      <c r="G13" s="427"/>
    </row>
    <row r="14" spans="1:7">
      <c r="B14" s="427"/>
      <c r="C14" s="427"/>
      <c r="D14" s="427"/>
      <c r="E14" s="427"/>
      <c r="F14" s="427"/>
      <c r="G14" s="427"/>
    </row>
    <row r="15" spans="1:7">
      <c r="B15" s="427"/>
      <c r="C15" s="427"/>
      <c r="D15" s="427"/>
      <c r="E15" s="427"/>
      <c r="F15" s="427"/>
      <c r="G15" s="427"/>
    </row>
    <row r="18" spans="2:7" ht="16">
      <c r="B18" s="58" t="s">
        <v>714</v>
      </c>
      <c r="C18" s="59"/>
      <c r="D18" s="59"/>
      <c r="E18" s="59"/>
      <c r="F18" s="60" t="s">
        <v>65</v>
      </c>
      <c r="G18" s="57" t="str">
        <f ca="1">IF(COUNTA(СЕГОДНЯ!J7,РАБДЕНЬ!F18,ЧИСТРАБДНИ!E21,ДОЛЯГОДА!I4)=COUNTIF(СЕГОДНЯ!J7,"ДА")+COUNTIF(РАБДЕНЬ!F18,"ДА")+COUNTIF(ЧИСТРАБДНИ!E21,"ДА")+COUNTIF(ДОЛЯГОДА!I4,"ДА"),"ДА","НЕТ")</f>
        <v>ДА</v>
      </c>
    </row>
  </sheetData>
  <mergeCells count="1">
    <mergeCell ref="B3:G15"/>
  </mergeCells>
  <conditionalFormatting sqref="G18">
    <cfRule type="cellIs" dxfId="29" priority="1" operator="equal">
      <formula>"нет"</formula>
    </cfRule>
    <cfRule type="cellIs" dxfId="28" priority="2" operator="equal">
      <formula>"да"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5" tint="0.39997558519241921"/>
  </sheetPr>
  <dimension ref="A1:J18"/>
  <sheetViews>
    <sheetView showGridLines="0" zoomScale="145" zoomScaleNormal="145" workbookViewId="0">
      <selection activeCell="C9" sqref="C9"/>
    </sheetView>
  </sheetViews>
  <sheetFormatPr baseColWidth="10" defaultColWidth="9.1640625" defaultRowHeight="16"/>
  <cols>
    <col min="1" max="1" width="8" style="194" customWidth="1"/>
    <col min="2" max="2" width="17.5" style="208" bestFit="1" customWidth="1"/>
    <col min="3" max="3" width="19.6640625" style="194" customWidth="1"/>
    <col min="4" max="4" width="17.5" style="194" bestFit="1" customWidth="1"/>
    <col min="5" max="5" width="13.6640625" style="194" customWidth="1"/>
    <col min="6" max="6" width="14.5" style="194" customWidth="1"/>
    <col min="7" max="7" width="12.83203125" style="194" customWidth="1"/>
    <col min="8" max="8" width="10.6640625" style="194" customWidth="1"/>
    <col min="9" max="9" width="5.33203125" style="194" customWidth="1"/>
    <col min="10" max="16384" width="9.1640625" style="194"/>
  </cols>
  <sheetData>
    <row r="1" spans="1:10">
      <c r="A1" s="143"/>
      <c r="B1" s="206"/>
      <c r="C1" s="143"/>
      <c r="D1" s="143"/>
      <c r="E1" s="143"/>
      <c r="F1" s="51" t="s">
        <v>59</v>
      </c>
      <c r="G1" s="53" t="s">
        <v>60</v>
      </c>
      <c r="H1" s="52">
        <v>3</v>
      </c>
    </row>
    <row r="2" spans="1:10">
      <c r="A2" s="143"/>
      <c r="B2" s="207" t="s">
        <v>799</v>
      </c>
      <c r="C2" s="61">
        <f ca="1">TODAY()</f>
        <v>44478</v>
      </c>
      <c r="D2" s="251">
        <f ca="1">TODAY()</f>
        <v>44478</v>
      </c>
      <c r="E2" s="143"/>
      <c r="F2" s="54"/>
      <c r="G2" s="59"/>
      <c r="H2" s="250" t="s">
        <v>893</v>
      </c>
    </row>
    <row r="3" spans="1:10">
      <c r="A3" s="143"/>
      <c r="B3" s="206"/>
      <c r="C3" s="149"/>
      <c r="D3" s="252"/>
      <c r="E3" s="143"/>
      <c r="F3" s="55" t="s">
        <v>965</v>
      </c>
      <c r="G3" s="56"/>
      <c r="H3" s="57" t="str">
        <f ca="1">IF(SUM(COUNTIF(C2,D2))=1,"ДА","НЕТ")</f>
        <v>ДА</v>
      </c>
    </row>
    <row r="4" spans="1:10">
      <c r="A4" s="143"/>
      <c r="B4" s="207" t="s">
        <v>1134</v>
      </c>
      <c r="C4" s="376">
        <f ca="1">NOW()</f>
        <v>44478.714636921293</v>
      </c>
      <c r="D4" s="251">
        <f ca="1">NOW()</f>
        <v>44478.714636921293</v>
      </c>
      <c r="E4" s="143"/>
      <c r="F4" s="55" t="s">
        <v>1138</v>
      </c>
      <c r="G4" s="56"/>
      <c r="H4" s="57" t="str">
        <f ca="1">IF(SUM(COUNTIF(C4,D4))=1,"ДА","НЕТ")</f>
        <v>ДА</v>
      </c>
    </row>
    <row r="5" spans="1:10">
      <c r="A5" s="143"/>
      <c r="E5" s="143"/>
      <c r="F5" s="55" t="s">
        <v>1139</v>
      </c>
      <c r="G5" s="56"/>
      <c r="H5" s="57" t="str">
        <f ca="1">IF(SUM(COUNTIF(C8,D8))=1,"ДА","НЕТ")</f>
        <v>ДА</v>
      </c>
    </row>
    <row r="6" spans="1:10">
      <c r="A6" s="143"/>
      <c r="B6" s="207" t="s">
        <v>800</v>
      </c>
      <c r="C6" s="61">
        <f ca="1">TODAY()+1</f>
        <v>44479</v>
      </c>
      <c r="D6" s="251">
        <f ca="1">TODAY()+1</f>
        <v>44479</v>
      </c>
      <c r="E6" s="143"/>
      <c r="F6" s="143"/>
      <c r="G6" s="143"/>
      <c r="H6" s="143"/>
    </row>
    <row r="7" spans="1:10">
      <c r="A7" s="143"/>
      <c r="B7" s="206"/>
      <c r="C7" s="149"/>
      <c r="D7" s="252"/>
      <c r="E7" s="58" t="s">
        <v>966</v>
      </c>
      <c r="F7" s="59"/>
      <c r="G7" s="59"/>
      <c r="H7" s="59"/>
      <c r="I7" s="60" t="s">
        <v>65</v>
      </c>
      <c r="J7" s="57" t="str">
        <f ca="1">IF(COUNTA(H3:H5)=COUNTIF(H3:H5,"ДА"),"ДА","НЕТ")</f>
        <v>ДА</v>
      </c>
    </row>
    <row r="8" spans="1:10">
      <c r="A8" s="143"/>
      <c r="B8" s="207" t="s">
        <v>801</v>
      </c>
      <c r="C8" s="61">
        <f ca="1">TODAY()-1</f>
        <v>44477</v>
      </c>
      <c r="D8" s="251">
        <f ca="1">TODAY()-1</f>
        <v>44477</v>
      </c>
      <c r="E8" s="143"/>
      <c r="F8" s="143"/>
      <c r="G8" s="143"/>
      <c r="H8" s="143"/>
    </row>
    <row r="9" spans="1:10">
      <c r="A9" s="143"/>
      <c r="B9" s="206"/>
      <c r="C9" s="143"/>
      <c r="D9" s="143"/>
      <c r="E9" s="143"/>
      <c r="F9" s="143"/>
      <c r="G9" s="143"/>
      <c r="H9" s="143"/>
    </row>
    <row r="10" spans="1:10">
      <c r="A10" s="143"/>
      <c r="B10" s="206"/>
      <c r="C10" s="143"/>
      <c r="D10" s="143"/>
      <c r="E10" s="143"/>
      <c r="F10" s="143"/>
      <c r="G10" s="143"/>
      <c r="H10" s="143"/>
    </row>
    <row r="11" spans="1:10">
      <c r="A11" s="143"/>
      <c r="B11" s="206"/>
      <c r="C11" s="143"/>
      <c r="D11" s="143"/>
      <c r="E11" s="143"/>
      <c r="F11" s="143"/>
      <c r="G11" s="143"/>
      <c r="H11" s="143"/>
    </row>
    <row r="12" spans="1:10">
      <c r="A12" s="143"/>
      <c r="B12" s="206"/>
      <c r="C12" s="143"/>
      <c r="D12" s="115"/>
      <c r="E12" s="127"/>
      <c r="F12" s="127"/>
      <c r="G12" s="143"/>
      <c r="H12" s="143"/>
    </row>
    <row r="13" spans="1:10">
      <c r="A13" s="143"/>
      <c r="B13" s="206"/>
      <c r="C13" s="143"/>
      <c r="D13" s="115"/>
      <c r="E13"/>
      <c r="F13"/>
      <c r="G13" s="143"/>
      <c r="H13" s="143"/>
    </row>
    <row r="14" spans="1:10">
      <c r="A14" s="143"/>
      <c r="B14" s="206"/>
      <c r="C14" s="143"/>
      <c r="D14" s="115"/>
      <c r="E14"/>
      <c r="F14"/>
      <c r="G14" s="143"/>
      <c r="H14" s="143"/>
    </row>
    <row r="15" spans="1:10" ht="21">
      <c r="A15" s="143"/>
      <c r="B15" s="206"/>
      <c r="C15" s="143"/>
      <c r="D15" s="115"/>
      <c r="E15" s="27"/>
      <c r="F15"/>
      <c r="G15" s="143"/>
      <c r="H15" s="143"/>
    </row>
    <row r="16" spans="1:10" ht="21">
      <c r="A16" s="143"/>
      <c r="B16" s="206"/>
      <c r="C16" s="143"/>
      <c r="D16" s="115"/>
      <c r="E16"/>
      <c r="F16" s="63"/>
      <c r="G16" s="143"/>
      <c r="H16" s="143"/>
    </row>
    <row r="17" spans="2:6">
      <c r="B17" s="377"/>
      <c r="D17" s="115"/>
      <c r="E17" s="127"/>
      <c r="F17" s="127"/>
    </row>
    <row r="18" spans="2:6">
      <c r="D18" s="115"/>
      <c r="E18" s="127"/>
      <c r="F18" s="127"/>
    </row>
  </sheetData>
  <conditionalFormatting sqref="H3">
    <cfRule type="cellIs" dxfId="27" priority="7" operator="equal">
      <formula>"нет"</formula>
    </cfRule>
    <cfRule type="cellIs" dxfId="26" priority="8" operator="equal">
      <formula>"да"</formula>
    </cfRule>
  </conditionalFormatting>
  <conditionalFormatting sqref="H4">
    <cfRule type="cellIs" dxfId="25" priority="5" operator="equal">
      <formula>"нет"</formula>
    </cfRule>
    <cfRule type="cellIs" dxfId="24" priority="6" operator="equal">
      <formula>"да"</formula>
    </cfRule>
  </conditionalFormatting>
  <conditionalFormatting sqref="H5">
    <cfRule type="cellIs" dxfId="23" priority="3" operator="equal">
      <formula>"нет"</formula>
    </cfRule>
    <cfRule type="cellIs" dxfId="22" priority="4" operator="equal">
      <formula>"да"</formula>
    </cfRule>
  </conditionalFormatting>
  <conditionalFormatting sqref="J7">
    <cfRule type="cellIs" dxfId="21" priority="1" operator="equal">
      <formula>"нет"</formula>
    </cfRule>
    <cfRule type="cellIs" dxfId="20" priority="2" operator="equal">
      <formula>"да"</formula>
    </cfRule>
  </conditionalFormatting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5" tint="0.39997558519241921"/>
  </sheetPr>
  <dimension ref="A1:H27"/>
  <sheetViews>
    <sheetView showGridLines="0" zoomScale="145" zoomScaleNormal="145" workbookViewId="0">
      <selection activeCell="D2" sqref="D2"/>
    </sheetView>
  </sheetViews>
  <sheetFormatPr baseColWidth="10" defaultColWidth="9.1640625" defaultRowHeight="16"/>
  <cols>
    <col min="1" max="1" width="14.83203125" style="194" customWidth="1"/>
    <col min="2" max="2" width="20.83203125" style="194" customWidth="1"/>
    <col min="3" max="3" width="21" style="194" customWidth="1"/>
    <col min="4" max="4" width="15.33203125" style="194" customWidth="1"/>
    <col min="5" max="5" width="15.83203125" style="194" customWidth="1"/>
    <col min="6" max="6" width="13.33203125" style="194" customWidth="1"/>
    <col min="7" max="7" width="17.33203125" style="194" customWidth="1"/>
    <col min="8" max="8" width="13.6640625" style="194" customWidth="1"/>
    <col min="9" max="16384" width="9.1640625" style="194"/>
  </cols>
  <sheetData>
    <row r="1" spans="1:8">
      <c r="A1" s="119" t="s">
        <v>802</v>
      </c>
      <c r="B1" s="119" t="s">
        <v>803</v>
      </c>
      <c r="C1" s="119" t="s">
        <v>804</v>
      </c>
      <c r="D1" s="119" t="s">
        <v>805</v>
      </c>
      <c r="E1" s="143"/>
      <c r="F1" s="119" t="s">
        <v>806</v>
      </c>
      <c r="G1" s="143"/>
    </row>
    <row r="2" spans="1:8">
      <c r="A2" s="62" t="s">
        <v>807</v>
      </c>
      <c r="B2" s="61">
        <v>44306</v>
      </c>
      <c r="C2" s="61">
        <f>B2+7</f>
        <v>44313</v>
      </c>
      <c r="D2" s="61">
        <f>WORKDAY.INTL(C2,5,1,$F$2:$F$3)</f>
        <v>44321</v>
      </c>
      <c r="E2" s="324">
        <v>44321</v>
      </c>
      <c r="F2" s="209">
        <v>44319</v>
      </c>
      <c r="G2" s="251">
        <v>44313</v>
      </c>
    </row>
    <row r="3" spans="1:8">
      <c r="A3" s="62" t="s">
        <v>808</v>
      </c>
      <c r="B3" s="61">
        <v>44308</v>
      </c>
      <c r="C3" s="61">
        <f t="shared" ref="C3:C11" si="0">B3+7</f>
        <v>44315</v>
      </c>
      <c r="D3" s="61">
        <f t="shared" ref="D3:D11" si="1">WORKDAY.INTL(C3,5,1,$F$2:$F$3)</f>
        <v>44323</v>
      </c>
      <c r="E3" s="324">
        <v>44323</v>
      </c>
      <c r="F3" s="209">
        <v>44326</v>
      </c>
      <c r="G3" s="251">
        <v>44315</v>
      </c>
    </row>
    <row r="4" spans="1:8">
      <c r="A4" s="62" t="s">
        <v>809</v>
      </c>
      <c r="B4" s="61">
        <v>44309</v>
      </c>
      <c r="C4" s="61">
        <f t="shared" si="0"/>
        <v>44316</v>
      </c>
      <c r="D4" s="61">
        <f t="shared" si="1"/>
        <v>44327</v>
      </c>
      <c r="E4" s="324">
        <v>44327</v>
      </c>
      <c r="F4"/>
      <c r="G4" s="251">
        <v>44316</v>
      </c>
    </row>
    <row r="5" spans="1:8">
      <c r="A5" s="62" t="s">
        <v>810</v>
      </c>
      <c r="B5" s="61">
        <v>44310</v>
      </c>
      <c r="C5" s="61">
        <f t="shared" si="0"/>
        <v>44317</v>
      </c>
      <c r="D5" s="61">
        <f t="shared" si="1"/>
        <v>44327</v>
      </c>
      <c r="E5" s="324">
        <v>44327</v>
      </c>
      <c r="F5"/>
      <c r="G5" s="251">
        <v>44317</v>
      </c>
    </row>
    <row r="6" spans="1:8">
      <c r="A6" s="62" t="s">
        <v>811</v>
      </c>
      <c r="B6" s="61">
        <v>44311</v>
      </c>
      <c r="C6" s="61">
        <f t="shared" si="0"/>
        <v>44318</v>
      </c>
      <c r="D6" s="61">
        <f t="shared" si="1"/>
        <v>44327</v>
      </c>
      <c r="E6" s="324">
        <v>44327</v>
      </c>
      <c r="F6" s="143"/>
      <c r="G6" s="251">
        <v>44318</v>
      </c>
    </row>
    <row r="7" spans="1:8">
      <c r="A7" s="62" t="s">
        <v>812</v>
      </c>
      <c r="B7" s="61">
        <v>44312</v>
      </c>
      <c r="C7" s="61">
        <f t="shared" si="0"/>
        <v>44319</v>
      </c>
      <c r="D7" s="61">
        <f t="shared" si="1"/>
        <v>44327</v>
      </c>
      <c r="E7" s="324">
        <v>44327</v>
      </c>
      <c r="F7" s="143"/>
      <c r="G7" s="251">
        <v>44319</v>
      </c>
    </row>
    <row r="8" spans="1:8">
      <c r="A8" s="62" t="s">
        <v>813</v>
      </c>
      <c r="B8" s="61">
        <v>44313</v>
      </c>
      <c r="C8" s="61">
        <f t="shared" si="0"/>
        <v>44320</v>
      </c>
      <c r="D8" s="61">
        <f t="shared" si="1"/>
        <v>44328</v>
      </c>
      <c r="E8" s="324">
        <v>44328</v>
      </c>
      <c r="F8" s="143"/>
      <c r="G8" s="251">
        <v>44320</v>
      </c>
    </row>
    <row r="9" spans="1:8">
      <c r="A9" s="62" t="s">
        <v>814</v>
      </c>
      <c r="B9" s="61">
        <v>44314</v>
      </c>
      <c r="C9" s="61">
        <f t="shared" si="0"/>
        <v>44321</v>
      </c>
      <c r="D9" s="61">
        <f t="shared" si="1"/>
        <v>44329</v>
      </c>
      <c r="E9" s="324">
        <v>44329</v>
      </c>
      <c r="F9" s="143"/>
      <c r="G9" s="251">
        <v>44321</v>
      </c>
    </row>
    <row r="10" spans="1:8">
      <c r="A10" s="62" t="s">
        <v>815</v>
      </c>
      <c r="B10" s="61">
        <v>44315</v>
      </c>
      <c r="C10" s="61">
        <f t="shared" si="0"/>
        <v>44322</v>
      </c>
      <c r="D10" s="61">
        <f t="shared" si="1"/>
        <v>44330</v>
      </c>
      <c r="E10" s="324">
        <v>44330</v>
      </c>
      <c r="F10" s="143"/>
      <c r="G10" s="251">
        <v>44322</v>
      </c>
    </row>
    <row r="11" spans="1:8">
      <c r="A11" s="62" t="s">
        <v>816</v>
      </c>
      <c r="B11" s="61">
        <v>44316</v>
      </c>
      <c r="C11" s="61">
        <f t="shared" si="0"/>
        <v>44323</v>
      </c>
      <c r="D11" s="61">
        <f t="shared" si="1"/>
        <v>44333</v>
      </c>
      <c r="E11" s="324">
        <v>44333</v>
      </c>
      <c r="F11" s="143"/>
      <c r="G11" s="251">
        <v>44323</v>
      </c>
      <c r="H11" s="143"/>
    </row>
    <row r="12" spans="1:8">
      <c r="A12" s="143"/>
      <c r="B12" s="143"/>
      <c r="C12" s="143"/>
      <c r="D12" s="143"/>
      <c r="E12" s="325"/>
      <c r="F12" s="143"/>
      <c r="G12" s="143"/>
      <c r="H12" s="143"/>
    </row>
    <row r="13" spans="1:8">
      <c r="A13" s="51" t="s">
        <v>59</v>
      </c>
      <c r="B13" s="53" t="s">
        <v>60</v>
      </c>
      <c r="C13" s="52">
        <v>2</v>
      </c>
      <c r="D13" s="143"/>
      <c r="E13" s="143"/>
      <c r="F13" s="143"/>
      <c r="G13" s="143"/>
      <c r="H13" s="143"/>
    </row>
    <row r="14" spans="1:8">
      <c r="A14" s="54"/>
      <c r="B14" s="59"/>
      <c r="C14" s="250" t="s">
        <v>893</v>
      </c>
      <c r="D14" s="143"/>
      <c r="E14" s="143"/>
      <c r="F14" s="143"/>
      <c r="G14" s="143"/>
      <c r="H14" s="143"/>
    </row>
    <row r="15" spans="1:8">
      <c r="A15" s="55" t="s">
        <v>967</v>
      </c>
      <c r="B15" s="56"/>
      <c r="C15" s="57" t="str">
        <f t="array" ref="C15">IF(SUM(COUNTIF(C2:C11,G2:G11))=COUNTA(A2:A11),"ДА","НЕТ")</f>
        <v>ДА</v>
      </c>
      <c r="D15" s="143"/>
      <c r="E15" s="143"/>
      <c r="F15" s="143"/>
      <c r="G15" s="143"/>
      <c r="H15" s="143"/>
    </row>
    <row r="16" spans="1:8">
      <c r="A16" s="55" t="s">
        <v>964</v>
      </c>
      <c r="B16" s="56"/>
      <c r="C16" s="57" t="str">
        <f t="array" ref="C16">IF(SUM(COUNTIF(D2:D11,E2:E11))=22,"ДА","НЕТ")</f>
        <v>ДА</v>
      </c>
      <c r="D16" s="143"/>
      <c r="E16" s="143"/>
      <c r="F16" s="143"/>
      <c r="G16" s="143"/>
      <c r="H16" s="143"/>
    </row>
    <row r="17" spans="1:8">
      <c r="A17" s="143"/>
      <c r="B17" s="143"/>
      <c r="C17" s="143"/>
      <c r="D17" s="143"/>
      <c r="E17" s="143"/>
      <c r="F17" s="143"/>
      <c r="G17" s="143"/>
      <c r="H17" s="143"/>
    </row>
    <row r="18" spans="1:8">
      <c r="A18" s="58" t="s">
        <v>968</v>
      </c>
      <c r="B18" s="59"/>
      <c r="C18" s="59"/>
      <c r="D18" s="59"/>
      <c r="E18" s="60" t="s">
        <v>65</v>
      </c>
      <c r="F18" s="57" t="str">
        <f>IF(COUNTA(C15:C16)=COUNTIF(C15:C16,"ДА"),"ДА","НЕТ")</f>
        <v>ДА</v>
      </c>
      <c r="G18" s="143"/>
      <c r="H18" s="143"/>
    </row>
    <row r="19" spans="1:8">
      <c r="A19" s="143"/>
      <c r="B19" s="143"/>
      <c r="C19" s="143"/>
      <c r="D19" s="143"/>
      <c r="E19" s="143"/>
      <c r="F19" s="143"/>
      <c r="G19" s="143"/>
      <c r="H19" s="143"/>
    </row>
    <row r="20" spans="1:8">
      <c r="A20" s="115"/>
      <c r="B20" s="127"/>
      <c r="C20" s="127"/>
      <c r="D20" s="115"/>
      <c r="E20" s="127"/>
      <c r="F20" s="127"/>
      <c r="G20" s="143"/>
      <c r="H20" s="143"/>
    </row>
    <row r="21" spans="1:8">
      <c r="A21" s="115"/>
      <c r="B21"/>
      <c r="C21"/>
      <c r="D21" s="115"/>
      <c r="E21"/>
      <c r="F21"/>
      <c r="G21" s="143"/>
      <c r="H21" s="143"/>
    </row>
    <row r="22" spans="1:8">
      <c r="A22" s="115"/>
      <c r="B22"/>
      <c r="C22"/>
      <c r="D22" s="115"/>
      <c r="E22"/>
      <c r="F22"/>
      <c r="G22" s="143"/>
      <c r="H22" s="143"/>
    </row>
    <row r="23" spans="1:8" ht="21">
      <c r="A23" s="115"/>
      <c r="B23" s="27"/>
      <c r="C23"/>
      <c r="D23" s="115"/>
      <c r="E23" s="27"/>
      <c r="F23"/>
      <c r="G23" s="143"/>
      <c r="H23" s="143"/>
    </row>
    <row r="24" spans="1:8" ht="21">
      <c r="A24" s="115"/>
      <c r="B24"/>
      <c r="C24" s="63"/>
      <c r="D24" s="115"/>
      <c r="E24"/>
      <c r="F24" s="63"/>
    </row>
    <row r="25" spans="1:8">
      <c r="A25" s="115"/>
      <c r="B25" s="127"/>
      <c r="C25" s="127"/>
      <c r="D25" s="115"/>
      <c r="E25" s="127"/>
      <c r="F25" s="127"/>
    </row>
    <row r="26" spans="1:8">
      <c r="A26" s="115"/>
      <c r="B26" s="127"/>
      <c r="C26" s="127"/>
      <c r="D26" s="120"/>
      <c r="E26" s="115"/>
    </row>
    <row r="27" spans="1:8">
      <c r="A27" s="115"/>
      <c r="B27" s="115"/>
      <c r="C27" s="115"/>
      <c r="D27" s="117"/>
      <c r="E27" s="115"/>
    </row>
  </sheetData>
  <conditionalFormatting sqref="C16">
    <cfRule type="cellIs" dxfId="19" priority="5" operator="equal">
      <formula>"нет"</formula>
    </cfRule>
    <cfRule type="cellIs" dxfId="18" priority="6" operator="equal">
      <formula>"да"</formula>
    </cfRule>
  </conditionalFormatting>
  <conditionalFormatting sqref="C15">
    <cfRule type="cellIs" dxfId="17" priority="3" operator="equal">
      <formula>"нет"</formula>
    </cfRule>
    <cfRule type="cellIs" dxfId="16" priority="4" operator="equal">
      <formula>"да"</formula>
    </cfRule>
  </conditionalFormatting>
  <conditionalFormatting sqref="F18">
    <cfRule type="cellIs" dxfId="15" priority="1" operator="equal">
      <formula>"нет"</formula>
    </cfRule>
    <cfRule type="cellIs" dxfId="14" priority="2" operator="equal">
      <formula>"да"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5" tint="0.39997558519241921"/>
  </sheetPr>
  <dimension ref="A1:J29"/>
  <sheetViews>
    <sheetView showGridLines="0" zoomScale="115" zoomScaleNormal="115" workbookViewId="0">
      <selection activeCell="F3" sqref="F3"/>
    </sheetView>
  </sheetViews>
  <sheetFormatPr baseColWidth="10" defaultColWidth="9.1640625" defaultRowHeight="15"/>
  <cols>
    <col min="1" max="1" width="6.83203125" style="210" bestFit="1" customWidth="1"/>
    <col min="2" max="2" width="34.5" style="210" bestFit="1" customWidth="1"/>
    <col min="3" max="3" width="12" style="210" bestFit="1" customWidth="1"/>
    <col min="4" max="4" width="15.5" style="210" bestFit="1" customWidth="1"/>
    <col min="5" max="5" width="18" style="210" bestFit="1" customWidth="1"/>
    <col min="6" max="6" width="14.5" style="210" bestFit="1" customWidth="1"/>
    <col min="7" max="7" width="19.33203125" style="210" customWidth="1"/>
    <col min="8" max="8" width="12.5" style="210" bestFit="1" customWidth="1"/>
    <col min="9" max="16384" width="9.1640625" style="210"/>
  </cols>
  <sheetData>
    <row r="1" spans="1:10" ht="19">
      <c r="B1" s="116" t="s">
        <v>817</v>
      </c>
    </row>
    <row r="2" spans="1:10" ht="31.5" customHeight="1">
      <c r="A2" s="119" t="s">
        <v>818</v>
      </c>
      <c r="B2" s="119" t="s">
        <v>819</v>
      </c>
      <c r="C2" s="119" t="s">
        <v>820</v>
      </c>
      <c r="D2" s="119" t="s">
        <v>821</v>
      </c>
      <c r="E2" s="119" t="s">
        <v>822</v>
      </c>
      <c r="F2" s="119" t="s">
        <v>823</v>
      </c>
      <c r="G2" s="143"/>
      <c r="H2"/>
      <c r="I2" s="143"/>
      <c r="J2" s="143"/>
    </row>
    <row r="3" spans="1:10">
      <c r="A3" s="62">
        <v>1</v>
      </c>
      <c r="B3" s="62" t="s">
        <v>824</v>
      </c>
      <c r="C3" s="61">
        <v>44313</v>
      </c>
      <c r="D3" s="61">
        <v>44314</v>
      </c>
      <c r="E3" s="62">
        <f>D3-C3+1</f>
        <v>2</v>
      </c>
      <c r="F3" s="62">
        <f>NETWORKDAYS.INTL(C3,D3,"0000011",РАБДЕНЬ!$F$2:$F$3)</f>
        <v>2</v>
      </c>
      <c r="G3" s="252">
        <v>2</v>
      </c>
      <c r="H3" s="253">
        <v>2</v>
      </c>
      <c r="I3" s="143"/>
      <c r="J3" s="143"/>
    </row>
    <row r="4" spans="1:10">
      <c r="A4" s="62">
        <v>2</v>
      </c>
      <c r="B4" s="62" t="s">
        <v>825</v>
      </c>
      <c r="C4" s="61">
        <v>44315</v>
      </c>
      <c r="D4" s="61">
        <v>44316</v>
      </c>
      <c r="E4" s="62">
        <f t="shared" ref="E4:E14" si="0">D4-C4+1</f>
        <v>2</v>
      </c>
      <c r="F4" s="62">
        <f>NETWORKDAYS.INTL(C4,D4,"0000011",РАБДЕНЬ!$F$2:$F$3)</f>
        <v>2</v>
      </c>
      <c r="G4" s="252">
        <v>2</v>
      </c>
      <c r="H4" s="253">
        <v>2</v>
      </c>
      <c r="I4" s="143"/>
      <c r="J4" s="143"/>
    </row>
    <row r="5" spans="1:10">
      <c r="A5" s="62">
        <v>3</v>
      </c>
      <c r="B5" s="62" t="s">
        <v>826</v>
      </c>
      <c r="C5" s="61">
        <v>44316</v>
      </c>
      <c r="D5" s="61">
        <v>44321</v>
      </c>
      <c r="E5" s="62">
        <f t="shared" si="0"/>
        <v>6</v>
      </c>
      <c r="F5" s="62">
        <f>NETWORKDAYS.INTL(C5,D5,"0000011",РАБДЕНЬ!$F$2:$F$3)</f>
        <v>3</v>
      </c>
      <c r="G5" s="252">
        <v>6</v>
      </c>
      <c r="H5" s="253">
        <v>3</v>
      </c>
      <c r="I5" s="143"/>
      <c r="J5" s="143"/>
    </row>
    <row r="6" spans="1:10">
      <c r="A6" s="62">
        <v>4</v>
      </c>
      <c r="B6" s="62" t="s">
        <v>827</v>
      </c>
      <c r="C6" s="61">
        <v>44321</v>
      </c>
      <c r="D6" s="61">
        <v>44321</v>
      </c>
      <c r="E6" s="62">
        <f t="shared" si="0"/>
        <v>1</v>
      </c>
      <c r="F6" s="62">
        <f>NETWORKDAYS.INTL(C6,D6,"0000011",РАБДЕНЬ!$F$2:$F$3)</f>
        <v>1</v>
      </c>
      <c r="G6" s="252">
        <v>1</v>
      </c>
      <c r="H6" s="253">
        <v>1</v>
      </c>
      <c r="I6" s="143"/>
      <c r="J6" s="143"/>
    </row>
    <row r="7" spans="1:10">
      <c r="A7" s="62">
        <v>5</v>
      </c>
      <c r="B7" s="62" t="s">
        <v>828</v>
      </c>
      <c r="C7" s="61">
        <v>44322</v>
      </c>
      <c r="D7" s="61">
        <v>44323</v>
      </c>
      <c r="E7" s="62">
        <f t="shared" si="0"/>
        <v>2</v>
      </c>
      <c r="F7" s="62">
        <f>NETWORKDAYS.INTL(C7,D7,"0000011",РАБДЕНЬ!$F$2:$F$3)</f>
        <v>2</v>
      </c>
      <c r="G7" s="252">
        <v>2</v>
      </c>
      <c r="H7" s="252">
        <v>2</v>
      </c>
      <c r="I7" s="143"/>
      <c r="J7" s="143"/>
    </row>
    <row r="8" spans="1:10">
      <c r="A8" s="62">
        <v>6</v>
      </c>
      <c r="B8" s="62" t="s">
        <v>829</v>
      </c>
      <c r="C8" s="61">
        <v>44324</v>
      </c>
      <c r="D8" s="61">
        <v>44330</v>
      </c>
      <c r="E8" s="62">
        <f t="shared" si="0"/>
        <v>7</v>
      </c>
      <c r="F8" s="62">
        <f>NETWORKDAYS.INTL(C8,D8,"0000011",РАБДЕНЬ!$F$2:$F$3)</f>
        <v>4</v>
      </c>
      <c r="G8" s="252">
        <v>7</v>
      </c>
      <c r="H8" s="252">
        <v>4</v>
      </c>
      <c r="I8" s="143"/>
      <c r="J8" s="143"/>
    </row>
    <row r="9" spans="1:10">
      <c r="A9" s="62">
        <v>7</v>
      </c>
      <c r="B9" s="62" t="s">
        <v>830</v>
      </c>
      <c r="C9" s="61">
        <v>44331</v>
      </c>
      <c r="D9" s="61">
        <v>44335</v>
      </c>
      <c r="E9" s="62">
        <f t="shared" si="0"/>
        <v>5</v>
      </c>
      <c r="F9" s="62">
        <f>NETWORKDAYS.INTL(C9,D9,"0000011",РАБДЕНЬ!$F$2:$F$3)</f>
        <v>3</v>
      </c>
      <c r="G9" s="252">
        <v>5</v>
      </c>
      <c r="H9" s="252">
        <v>3</v>
      </c>
      <c r="I9" s="143"/>
      <c r="J9" s="143"/>
    </row>
    <row r="10" spans="1:10">
      <c r="A10" s="62">
        <v>8</v>
      </c>
      <c r="B10" s="62" t="s">
        <v>831</v>
      </c>
      <c r="C10" s="61">
        <v>44336</v>
      </c>
      <c r="D10" s="61">
        <v>44340</v>
      </c>
      <c r="E10" s="62">
        <f t="shared" si="0"/>
        <v>5</v>
      </c>
      <c r="F10" s="62">
        <f>NETWORKDAYS.INTL(C10,D10,"0000011",РАБДЕНЬ!$F$2:$F$3)</f>
        <v>3</v>
      </c>
      <c r="G10" s="252">
        <v>5</v>
      </c>
      <c r="H10" s="252">
        <v>3</v>
      </c>
      <c r="I10" s="143"/>
      <c r="J10" s="143"/>
    </row>
    <row r="11" spans="1:10">
      <c r="A11" s="62">
        <v>9</v>
      </c>
      <c r="B11" s="62" t="s">
        <v>832</v>
      </c>
      <c r="C11" s="61">
        <v>44341</v>
      </c>
      <c r="D11" s="61">
        <v>44342</v>
      </c>
      <c r="E11" s="62">
        <f t="shared" si="0"/>
        <v>2</v>
      </c>
      <c r="F11" s="62">
        <f>NETWORKDAYS.INTL(C11,D11,"0000011",РАБДЕНЬ!$F$2:$F$3)</f>
        <v>2</v>
      </c>
      <c r="G11" s="252">
        <v>2</v>
      </c>
      <c r="H11" s="252">
        <v>2</v>
      </c>
      <c r="I11" s="143"/>
      <c r="J11" s="143"/>
    </row>
    <row r="12" spans="1:10">
      <c r="A12" s="62">
        <v>10</v>
      </c>
      <c r="B12" s="62" t="s">
        <v>833</v>
      </c>
      <c r="C12" s="61">
        <v>44343</v>
      </c>
      <c r="D12" s="61">
        <v>44344</v>
      </c>
      <c r="E12" s="62">
        <f t="shared" si="0"/>
        <v>2</v>
      </c>
      <c r="F12" s="62">
        <f>NETWORKDAYS.INTL(C12,D12,"0000011",РАБДЕНЬ!$F$2:$F$3)</f>
        <v>2</v>
      </c>
      <c r="G12" s="252">
        <v>2</v>
      </c>
      <c r="H12" s="252">
        <v>2</v>
      </c>
      <c r="I12" s="143"/>
      <c r="J12" s="143"/>
    </row>
    <row r="13" spans="1:10">
      <c r="A13" s="62">
        <v>11</v>
      </c>
      <c r="B13" s="62" t="s">
        <v>834</v>
      </c>
      <c r="C13" s="61">
        <v>44344</v>
      </c>
      <c r="D13" s="61">
        <v>44344</v>
      </c>
      <c r="E13" s="62">
        <f t="shared" si="0"/>
        <v>1</v>
      </c>
      <c r="F13" s="62">
        <f>NETWORKDAYS.INTL(C13,D13,"0000011",РАБДЕНЬ!$F$2:$F$3)</f>
        <v>1</v>
      </c>
      <c r="G13" s="252">
        <v>1</v>
      </c>
      <c r="H13" s="252">
        <v>1</v>
      </c>
      <c r="I13" s="143"/>
      <c r="J13" s="143"/>
    </row>
    <row r="14" spans="1:10">
      <c r="A14" s="62">
        <v>12</v>
      </c>
      <c r="B14" s="62" t="s">
        <v>835</v>
      </c>
      <c r="C14" s="61">
        <v>44345</v>
      </c>
      <c r="D14" s="61">
        <v>44345</v>
      </c>
      <c r="E14" s="62">
        <f t="shared" si="0"/>
        <v>1</v>
      </c>
      <c r="F14" s="62">
        <f>NETWORKDAYS.INTL(C14,D14,"0000011",РАБДЕНЬ!$F$2:$F$3)</f>
        <v>0</v>
      </c>
      <c r="G14" s="252">
        <v>1</v>
      </c>
      <c r="H14" s="252">
        <v>0</v>
      </c>
      <c r="I14" s="143"/>
      <c r="J14" s="143"/>
    </row>
    <row r="15" spans="1:10">
      <c r="A15" s="143"/>
      <c r="B15" s="143"/>
      <c r="C15" s="143"/>
      <c r="D15" s="143"/>
      <c r="E15" s="143"/>
      <c r="F15" s="143"/>
      <c r="G15" s="143"/>
      <c r="H15" s="143"/>
      <c r="I15" s="143"/>
      <c r="J15" s="143"/>
    </row>
    <row r="16" spans="1:10" ht="16">
      <c r="A16" s="143"/>
      <c r="B16" s="51" t="s">
        <v>59</v>
      </c>
      <c r="C16" s="53" t="s">
        <v>60</v>
      </c>
      <c r="D16" s="52">
        <v>2</v>
      </c>
      <c r="E16" s="143"/>
      <c r="F16" s="143"/>
      <c r="G16" s="143"/>
      <c r="H16" s="143"/>
      <c r="I16" s="143"/>
      <c r="J16" s="143"/>
    </row>
    <row r="17" spans="1:10">
      <c r="A17" s="143"/>
      <c r="B17" s="54"/>
      <c r="C17" s="59"/>
      <c r="D17" s="250" t="s">
        <v>893</v>
      </c>
      <c r="E17" s="143"/>
      <c r="F17" s="143"/>
      <c r="G17" s="143"/>
      <c r="H17" s="143"/>
      <c r="I17" s="143"/>
      <c r="J17" s="143"/>
    </row>
    <row r="18" spans="1:10">
      <c r="A18" s="143"/>
      <c r="B18" s="55" t="s">
        <v>969</v>
      </c>
      <c r="C18" s="56"/>
      <c r="D18" s="57" t="str">
        <f t="array" ref="D18">IF(SUM(COUNTIF(E3:E14,G3:G14))=40,"ДА","НЕТ")</f>
        <v>ДА</v>
      </c>
      <c r="E18" s="143"/>
      <c r="F18" s="143"/>
      <c r="G18" s="143"/>
      <c r="H18" s="143"/>
      <c r="I18" s="143"/>
      <c r="J18" s="143"/>
    </row>
    <row r="19" spans="1:10">
      <c r="A19" s="143"/>
      <c r="B19" s="55" t="s">
        <v>970</v>
      </c>
      <c r="C19" s="56"/>
      <c r="D19" s="57" t="str">
        <f t="array" ref="D19">IF(SUM(COUNTIF(F3:F14,H3:H14))=40,"ДА","НЕТ")</f>
        <v>ДА</v>
      </c>
      <c r="E19" s="143"/>
      <c r="F19" s="143"/>
      <c r="G19" s="143"/>
      <c r="H19" s="143"/>
      <c r="I19" s="143"/>
      <c r="J19" s="143"/>
    </row>
    <row r="20" spans="1:10">
      <c r="A20" s="143"/>
      <c r="B20" s="143"/>
      <c r="C20" s="143"/>
      <c r="D20" s="143"/>
      <c r="E20" s="143"/>
      <c r="F20" s="143"/>
      <c r="G20" s="143"/>
      <c r="H20" s="143"/>
      <c r="I20" s="143"/>
      <c r="J20" s="143"/>
    </row>
    <row r="21" spans="1:10" ht="16">
      <c r="A21" s="143"/>
      <c r="B21" s="58" t="s">
        <v>971</v>
      </c>
      <c r="C21" s="59"/>
      <c r="D21" s="60" t="s">
        <v>65</v>
      </c>
      <c r="E21" s="57" t="str">
        <f>IF(COUNTA(D18:D19)=COUNTIF(D18:D19,"ДА"),"ДА","НЕТ")</f>
        <v>ДА</v>
      </c>
      <c r="F21" s="143"/>
      <c r="G21" s="143"/>
      <c r="H21" s="143"/>
    </row>
    <row r="22" spans="1:10">
      <c r="A22" s="143"/>
      <c r="B22" s="143"/>
      <c r="C22" s="143"/>
      <c r="D22" s="143"/>
      <c r="E22" s="143"/>
      <c r="F22" s="143"/>
      <c r="G22" s="143"/>
      <c r="H22" s="143"/>
      <c r="I22" s="143"/>
      <c r="J22" s="143"/>
    </row>
    <row r="23" spans="1:10">
      <c r="A23" s="143"/>
      <c r="B23" s="143"/>
      <c r="C23" s="143"/>
      <c r="D23" s="143"/>
      <c r="E23" s="143"/>
      <c r="F23" s="143"/>
      <c r="G23" s="143"/>
      <c r="H23" s="143"/>
      <c r="I23" s="143"/>
      <c r="J23" s="143"/>
    </row>
    <row r="24" spans="1:10" ht="16">
      <c r="A24" s="115"/>
      <c r="B24" s="127"/>
      <c r="C24" s="127"/>
    </row>
    <row r="25" spans="1:10" ht="16">
      <c r="A25" s="115"/>
      <c r="B25"/>
      <c r="C25"/>
    </row>
    <row r="26" spans="1:10" ht="16">
      <c r="A26" s="115"/>
      <c r="B26"/>
      <c r="C26"/>
    </row>
    <row r="27" spans="1:10" ht="21">
      <c r="A27" s="115"/>
      <c r="B27" s="27"/>
      <c r="C27"/>
    </row>
    <row r="28" spans="1:10" ht="21">
      <c r="A28" s="115"/>
      <c r="B28"/>
      <c r="C28" s="63"/>
    </row>
    <row r="29" spans="1:10" ht="16">
      <c r="A29" s="115"/>
      <c r="B29" s="127"/>
      <c r="C29" s="127"/>
    </row>
  </sheetData>
  <conditionalFormatting sqref="D18">
    <cfRule type="cellIs" dxfId="13" priority="5" operator="equal">
      <formula>"нет"</formula>
    </cfRule>
    <cfRule type="cellIs" dxfId="12" priority="6" operator="equal">
      <formula>"да"</formula>
    </cfRule>
  </conditionalFormatting>
  <conditionalFormatting sqref="D19">
    <cfRule type="cellIs" dxfId="11" priority="3" operator="equal">
      <formula>"нет"</formula>
    </cfRule>
    <cfRule type="cellIs" dxfId="10" priority="4" operator="equal">
      <formula>"да"</formula>
    </cfRule>
  </conditionalFormatting>
  <conditionalFormatting sqref="E21">
    <cfRule type="cellIs" dxfId="9" priority="1" operator="equal">
      <formula>"нет"</formula>
    </cfRule>
    <cfRule type="cellIs" dxfId="8" priority="2" operator="equal">
      <formula>"да"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5" tint="0.39997558519241921"/>
  </sheetPr>
  <dimension ref="A1:N74"/>
  <sheetViews>
    <sheetView showGridLines="0" zoomScale="130" zoomScaleNormal="130" workbookViewId="0">
      <selection activeCell="F6" sqref="F6"/>
    </sheetView>
  </sheetViews>
  <sheetFormatPr baseColWidth="10" defaultColWidth="9.1640625" defaultRowHeight="16"/>
  <cols>
    <col min="1" max="1" width="16.6640625" style="194" bestFit="1" customWidth="1"/>
    <col min="2" max="2" width="12.33203125" style="194" bestFit="1" customWidth="1"/>
    <col min="3" max="3" width="13.5" style="194" bestFit="1" customWidth="1"/>
    <col min="4" max="4" width="17" style="194" bestFit="1" customWidth="1"/>
    <col min="5" max="5" width="15" style="194" customWidth="1"/>
    <col min="6" max="6" width="15" customWidth="1"/>
    <col min="7" max="7" width="11.33203125" style="194" customWidth="1"/>
    <col min="8" max="8" width="11.83203125" style="194" customWidth="1"/>
    <col min="9" max="9" width="11.33203125" style="194" bestFit="1" customWidth="1"/>
    <col min="10" max="16384" width="9.1640625" style="194"/>
  </cols>
  <sheetData>
    <row r="1" spans="1:14" ht="19">
      <c r="A1" s="116" t="s">
        <v>836</v>
      </c>
    </row>
    <row r="2" spans="1:14">
      <c r="A2" s="119" t="s">
        <v>105</v>
      </c>
      <c r="B2" s="119" t="s">
        <v>106</v>
      </c>
      <c r="C2" s="119" t="s">
        <v>107</v>
      </c>
      <c r="D2" s="119" t="s">
        <v>837</v>
      </c>
      <c r="E2" s="119" t="s">
        <v>838</v>
      </c>
      <c r="G2" s="51" t="s">
        <v>59</v>
      </c>
      <c r="H2" s="53" t="s">
        <v>60</v>
      </c>
      <c r="I2" s="52">
        <v>1</v>
      </c>
    </row>
    <row r="3" spans="1:14">
      <c r="A3" s="62" t="s">
        <v>52</v>
      </c>
      <c r="B3" s="62" t="s">
        <v>115</v>
      </c>
      <c r="C3" s="62" t="s">
        <v>116</v>
      </c>
      <c r="D3" s="61">
        <v>28010</v>
      </c>
      <c r="E3" s="436">
        <f ca="1">INT(YEARFRAC(D3,TODAY(),1))</f>
        <v>45</v>
      </c>
      <c r="F3" s="50"/>
      <c r="G3" s="54"/>
      <c r="H3" s="59"/>
      <c r="I3" s="250" t="s">
        <v>893</v>
      </c>
      <c r="J3"/>
      <c r="M3" s="50">
        <f ca="1">INT(YEARFRAC(D3,TODAY(),1))</f>
        <v>45</v>
      </c>
      <c r="N3" s="248">
        <f ca="1">INT(YEARFRAC(D3,TODAY(),1))</f>
        <v>45</v>
      </c>
    </row>
    <row r="4" spans="1:14">
      <c r="A4" s="62" t="s">
        <v>117</v>
      </c>
      <c r="B4" s="62" t="s">
        <v>118</v>
      </c>
      <c r="C4" s="62" t="s">
        <v>119</v>
      </c>
      <c r="D4" s="61">
        <v>28994</v>
      </c>
      <c r="E4" s="436">
        <f t="shared" ref="E4:E50" ca="1" si="0">INT(YEARFRAC(D4,TODAY(),1))</f>
        <v>42</v>
      </c>
      <c r="F4" s="50"/>
      <c r="G4" s="55" t="s">
        <v>972</v>
      </c>
      <c r="H4" s="56"/>
      <c r="I4" s="57" t="str">
        <f t="array" aca="1" ref="I4" ca="1">IF(SUM(COUNTIF(E3:E50,M3:M50))=SUM(COUNTIF(N3:N50,M3:M50)),"ДА","НЕТ")</f>
        <v>ДА</v>
      </c>
      <c r="J4"/>
      <c r="M4" s="50">
        <f t="shared" ref="M4:M50" ca="1" si="1">INT(YEARFRAC(D4,TODAY(),1))</f>
        <v>42</v>
      </c>
      <c r="N4" s="248">
        <f t="shared" ref="N4:N50" ca="1" si="2">INT(YEARFRAC(D4,TODAY(),1))</f>
        <v>42</v>
      </c>
    </row>
    <row r="5" spans="1:14">
      <c r="A5" s="62" t="s">
        <v>120</v>
      </c>
      <c r="B5" s="62" t="s">
        <v>121</v>
      </c>
      <c r="C5" s="62" t="s">
        <v>122</v>
      </c>
      <c r="D5" s="61">
        <v>26452</v>
      </c>
      <c r="E5" s="436">
        <f t="shared" ca="1" si="0"/>
        <v>49</v>
      </c>
      <c r="F5" s="50"/>
      <c r="H5"/>
      <c r="I5"/>
      <c r="J5"/>
      <c r="M5" s="50">
        <f t="shared" ca="1" si="1"/>
        <v>49</v>
      </c>
      <c r="N5" s="248">
        <f t="shared" ca="1" si="2"/>
        <v>49</v>
      </c>
    </row>
    <row r="6" spans="1:14">
      <c r="A6" s="62" t="s">
        <v>51</v>
      </c>
      <c r="B6" s="62" t="s">
        <v>123</v>
      </c>
      <c r="C6" s="62" t="s">
        <v>124</v>
      </c>
      <c r="D6" s="61">
        <v>27599</v>
      </c>
      <c r="E6" s="436">
        <f t="shared" ca="1" si="0"/>
        <v>46</v>
      </c>
      <c r="F6" s="50"/>
      <c r="H6"/>
      <c r="I6"/>
      <c r="J6"/>
      <c r="M6" s="50">
        <f t="shared" ca="1" si="1"/>
        <v>46</v>
      </c>
      <c r="N6" s="248">
        <f t="shared" ca="1" si="2"/>
        <v>46</v>
      </c>
    </row>
    <row r="7" spans="1:14">
      <c r="A7" s="62" t="s">
        <v>50</v>
      </c>
      <c r="B7" s="62" t="s">
        <v>125</v>
      </c>
      <c r="C7" s="62" t="s">
        <v>126</v>
      </c>
      <c r="D7" s="61">
        <v>32511</v>
      </c>
      <c r="E7" s="436">
        <f t="shared" ca="1" si="0"/>
        <v>32</v>
      </c>
      <c r="F7" s="50"/>
      <c r="H7"/>
      <c r="I7"/>
      <c r="J7"/>
      <c r="M7" s="50">
        <f t="shared" ca="1" si="1"/>
        <v>32</v>
      </c>
      <c r="N7" s="248">
        <f t="shared" ca="1" si="2"/>
        <v>32</v>
      </c>
    </row>
    <row r="8" spans="1:14">
      <c r="A8" s="62" t="s">
        <v>127</v>
      </c>
      <c r="B8" s="62" t="s">
        <v>128</v>
      </c>
      <c r="C8" s="62" t="s">
        <v>129</v>
      </c>
      <c r="D8" s="61">
        <v>28622</v>
      </c>
      <c r="E8" s="436">
        <f t="shared" ca="1" si="0"/>
        <v>43</v>
      </c>
      <c r="F8" s="50"/>
      <c r="H8"/>
      <c r="I8"/>
      <c r="J8"/>
      <c r="M8" s="50">
        <f t="shared" ca="1" si="1"/>
        <v>43</v>
      </c>
      <c r="N8" s="248">
        <f t="shared" ca="1" si="2"/>
        <v>43</v>
      </c>
    </row>
    <row r="9" spans="1:14">
      <c r="A9" s="62" t="s">
        <v>49</v>
      </c>
      <c r="B9" s="62" t="s">
        <v>130</v>
      </c>
      <c r="C9" s="62" t="s">
        <v>131</v>
      </c>
      <c r="D9" s="61">
        <v>25378</v>
      </c>
      <c r="E9" s="436">
        <f t="shared" ca="1" si="0"/>
        <v>52</v>
      </c>
      <c r="F9" s="50"/>
      <c r="H9"/>
      <c r="I9"/>
      <c r="J9"/>
      <c r="M9" s="50">
        <f t="shared" ca="1" si="1"/>
        <v>52</v>
      </c>
      <c r="N9" s="248">
        <f t="shared" ca="1" si="2"/>
        <v>52</v>
      </c>
    </row>
    <row r="10" spans="1:14">
      <c r="A10" s="62" t="s">
        <v>48</v>
      </c>
      <c r="B10" s="62" t="s">
        <v>132</v>
      </c>
      <c r="C10" s="62" t="s">
        <v>133</v>
      </c>
      <c r="D10" s="61">
        <v>25080</v>
      </c>
      <c r="E10" s="436">
        <f t="shared" ca="1" si="0"/>
        <v>53</v>
      </c>
      <c r="F10" s="50"/>
      <c r="M10" s="50">
        <f t="shared" ca="1" si="1"/>
        <v>53</v>
      </c>
      <c r="N10" s="248">
        <f t="shared" ca="1" si="2"/>
        <v>53</v>
      </c>
    </row>
    <row r="11" spans="1:14">
      <c r="A11" s="62" t="s">
        <v>47</v>
      </c>
      <c r="B11" s="62" t="s">
        <v>134</v>
      </c>
      <c r="C11" s="62" t="s">
        <v>135</v>
      </c>
      <c r="D11" s="61">
        <v>31225</v>
      </c>
      <c r="E11" s="436">
        <f t="shared" ca="1" si="0"/>
        <v>36</v>
      </c>
      <c r="F11" s="50"/>
      <c r="G11" s="322" t="s">
        <v>965</v>
      </c>
      <c r="H11" s="323">
        <f ca="1">TODAY()</f>
        <v>44478</v>
      </c>
      <c r="M11" s="50">
        <f t="shared" ca="1" si="1"/>
        <v>36</v>
      </c>
      <c r="N11" s="248">
        <f t="shared" ca="1" si="2"/>
        <v>36</v>
      </c>
    </row>
    <row r="12" spans="1:14">
      <c r="A12" s="62" t="s">
        <v>46</v>
      </c>
      <c r="B12" s="62" t="s">
        <v>136</v>
      </c>
      <c r="C12" s="62" t="s">
        <v>137</v>
      </c>
      <c r="D12" s="61">
        <v>24630</v>
      </c>
      <c r="E12" s="436">
        <f t="shared" ca="1" si="0"/>
        <v>54</v>
      </c>
      <c r="F12" s="50"/>
      <c r="G12" s="115"/>
      <c r="H12" s="127"/>
      <c r="I12" s="127"/>
      <c r="J12" s="120"/>
      <c r="K12" s="115"/>
      <c r="M12" s="50">
        <f t="shared" ca="1" si="1"/>
        <v>54</v>
      </c>
      <c r="N12" s="248">
        <f t="shared" ca="1" si="2"/>
        <v>54</v>
      </c>
    </row>
    <row r="13" spans="1:14">
      <c r="A13" s="62" t="s">
        <v>46</v>
      </c>
      <c r="B13" s="62" t="s">
        <v>130</v>
      </c>
      <c r="C13" s="62" t="s">
        <v>131</v>
      </c>
      <c r="D13" s="61">
        <v>27823</v>
      </c>
      <c r="E13" s="436">
        <f t="shared" ca="1" si="0"/>
        <v>45</v>
      </c>
      <c r="F13" s="50"/>
      <c r="G13" s="115"/>
      <c r="H13"/>
      <c r="I13"/>
      <c r="J13"/>
      <c r="K13"/>
      <c r="M13" s="50">
        <f t="shared" ca="1" si="1"/>
        <v>45</v>
      </c>
      <c r="N13" s="248">
        <f t="shared" ca="1" si="2"/>
        <v>45</v>
      </c>
    </row>
    <row r="14" spans="1:14">
      <c r="A14" s="62" t="s">
        <v>45</v>
      </c>
      <c r="B14" s="62" t="s">
        <v>138</v>
      </c>
      <c r="C14" s="62" t="s">
        <v>135</v>
      </c>
      <c r="D14" s="61">
        <v>29407</v>
      </c>
      <c r="E14" s="436">
        <f t="shared" ca="1" si="0"/>
        <v>41</v>
      </c>
      <c r="F14" s="50"/>
      <c r="G14" s="115"/>
      <c r="H14"/>
      <c r="I14"/>
      <c r="J14"/>
      <c r="K14"/>
      <c r="M14" s="50">
        <f t="shared" ca="1" si="1"/>
        <v>41</v>
      </c>
      <c r="N14" s="248">
        <f t="shared" ca="1" si="2"/>
        <v>41</v>
      </c>
    </row>
    <row r="15" spans="1:14" ht="21">
      <c r="A15" s="62" t="s">
        <v>139</v>
      </c>
      <c r="B15" s="62" t="s">
        <v>140</v>
      </c>
      <c r="C15" s="62" t="s">
        <v>141</v>
      </c>
      <c r="D15" s="61">
        <v>25538</v>
      </c>
      <c r="E15" s="436">
        <f t="shared" ca="1" si="0"/>
        <v>51</v>
      </c>
      <c r="F15" s="50"/>
      <c r="G15" s="115"/>
      <c r="H15" s="27"/>
      <c r="I15"/>
      <c r="J15"/>
      <c r="K15"/>
      <c r="M15" s="50">
        <f t="shared" ca="1" si="1"/>
        <v>51</v>
      </c>
      <c r="N15" s="248">
        <f t="shared" ca="1" si="2"/>
        <v>51</v>
      </c>
    </row>
    <row r="16" spans="1:14" ht="21">
      <c r="A16" s="62" t="s">
        <v>43</v>
      </c>
      <c r="B16" s="62" t="s">
        <v>142</v>
      </c>
      <c r="C16" s="62" t="s">
        <v>143</v>
      </c>
      <c r="D16" s="61">
        <v>24240</v>
      </c>
      <c r="E16" s="436">
        <f t="shared" ca="1" si="0"/>
        <v>55</v>
      </c>
      <c r="F16" s="50"/>
      <c r="G16" s="115"/>
      <c r="H16"/>
      <c r="I16" s="63"/>
      <c r="J16" s="63"/>
      <c r="K16" s="63"/>
      <c r="M16" s="50">
        <f t="shared" ca="1" si="1"/>
        <v>55</v>
      </c>
      <c r="N16" s="248">
        <f t="shared" ca="1" si="2"/>
        <v>55</v>
      </c>
    </row>
    <row r="17" spans="1:14">
      <c r="A17" s="62" t="s">
        <v>42</v>
      </c>
      <c r="B17" s="62" t="s">
        <v>144</v>
      </c>
      <c r="C17" s="62" t="s">
        <v>145</v>
      </c>
      <c r="D17" s="61">
        <v>33232</v>
      </c>
      <c r="E17" s="436">
        <f t="shared" ca="1" si="0"/>
        <v>30</v>
      </c>
      <c r="F17" s="50"/>
      <c r="G17" s="115"/>
      <c r="H17" s="127"/>
      <c r="I17" s="127"/>
      <c r="J17" s="120"/>
      <c r="K17" s="115"/>
      <c r="M17" s="50">
        <f t="shared" ca="1" si="1"/>
        <v>30</v>
      </c>
      <c r="N17" s="248">
        <f t="shared" ca="1" si="2"/>
        <v>30</v>
      </c>
    </row>
    <row r="18" spans="1:14">
      <c r="A18" s="62" t="s">
        <v>146</v>
      </c>
      <c r="B18" s="62" t="s">
        <v>147</v>
      </c>
      <c r="C18" s="62" t="s">
        <v>148</v>
      </c>
      <c r="D18" s="61">
        <v>28229</v>
      </c>
      <c r="E18" s="436">
        <f t="shared" ca="1" si="0"/>
        <v>44</v>
      </c>
      <c r="F18" s="50"/>
      <c r="G18" s="115"/>
      <c r="H18" s="127"/>
      <c r="I18" s="127"/>
      <c r="J18" s="120"/>
      <c r="K18" s="115"/>
      <c r="M18" s="50">
        <f t="shared" ca="1" si="1"/>
        <v>44</v>
      </c>
      <c r="N18" s="248">
        <f t="shared" ca="1" si="2"/>
        <v>44</v>
      </c>
    </row>
    <row r="19" spans="1:14">
      <c r="A19" s="62" t="s">
        <v>41</v>
      </c>
      <c r="B19" s="62" t="s">
        <v>149</v>
      </c>
      <c r="C19" s="62" t="s">
        <v>150</v>
      </c>
      <c r="D19" s="61">
        <v>29050</v>
      </c>
      <c r="E19" s="436">
        <f t="shared" ca="1" si="0"/>
        <v>42</v>
      </c>
      <c r="F19" s="50"/>
      <c r="G19" s="115"/>
      <c r="H19" s="115"/>
      <c r="I19" s="115"/>
      <c r="J19" s="117"/>
      <c r="K19" s="115"/>
      <c r="M19" s="50">
        <f t="shared" ca="1" si="1"/>
        <v>42</v>
      </c>
      <c r="N19" s="248">
        <f t="shared" ca="1" si="2"/>
        <v>42</v>
      </c>
    </row>
    <row r="20" spans="1:14">
      <c r="A20" s="62" t="s">
        <v>151</v>
      </c>
      <c r="B20" s="62" t="s">
        <v>152</v>
      </c>
      <c r="C20" s="62" t="s">
        <v>153</v>
      </c>
      <c r="D20" s="61">
        <v>30801</v>
      </c>
      <c r="E20" s="436">
        <f t="shared" ca="1" si="0"/>
        <v>37</v>
      </c>
      <c r="F20" s="50"/>
      <c r="I20" s="338"/>
      <c r="M20" s="50">
        <f t="shared" ca="1" si="1"/>
        <v>37</v>
      </c>
      <c r="N20" s="248">
        <f t="shared" ca="1" si="2"/>
        <v>37</v>
      </c>
    </row>
    <row r="21" spans="1:14">
      <c r="A21" s="62" t="s">
        <v>40</v>
      </c>
      <c r="B21" s="62" t="s">
        <v>154</v>
      </c>
      <c r="C21" s="62" t="s">
        <v>155</v>
      </c>
      <c r="D21" s="61">
        <v>23048</v>
      </c>
      <c r="E21" s="436">
        <f t="shared" ca="1" si="0"/>
        <v>58</v>
      </c>
      <c r="F21" s="50"/>
      <c r="M21" s="50">
        <f t="shared" ca="1" si="1"/>
        <v>58</v>
      </c>
      <c r="N21" s="248">
        <f t="shared" ca="1" si="2"/>
        <v>58</v>
      </c>
    </row>
    <row r="22" spans="1:14">
      <c r="A22" s="62" t="s">
        <v>39</v>
      </c>
      <c r="B22" s="62" t="s">
        <v>156</v>
      </c>
      <c r="C22" s="62" t="s">
        <v>157</v>
      </c>
      <c r="D22" s="61">
        <v>27294</v>
      </c>
      <c r="E22" s="436">
        <f t="shared" ca="1" si="0"/>
        <v>47</v>
      </c>
      <c r="F22" s="50"/>
      <c r="M22" s="50">
        <f t="shared" ca="1" si="1"/>
        <v>47</v>
      </c>
      <c r="N22" s="248">
        <f t="shared" ca="1" si="2"/>
        <v>47</v>
      </c>
    </row>
    <row r="23" spans="1:14">
      <c r="A23" s="62" t="s">
        <v>158</v>
      </c>
      <c r="B23" s="62" t="s">
        <v>159</v>
      </c>
      <c r="C23" s="62" t="s">
        <v>160</v>
      </c>
      <c r="D23" s="61">
        <v>25494</v>
      </c>
      <c r="E23" s="436">
        <f t="shared" ca="1" si="0"/>
        <v>51</v>
      </c>
      <c r="F23" s="50"/>
      <c r="M23" s="50">
        <f t="shared" ca="1" si="1"/>
        <v>51</v>
      </c>
      <c r="N23" s="248">
        <f t="shared" ca="1" si="2"/>
        <v>51</v>
      </c>
    </row>
    <row r="24" spans="1:14">
      <c r="A24" s="62" t="s">
        <v>38</v>
      </c>
      <c r="B24" s="62" t="s">
        <v>161</v>
      </c>
      <c r="C24" s="62" t="s">
        <v>162</v>
      </c>
      <c r="D24" s="61">
        <v>34049</v>
      </c>
      <c r="E24" s="436">
        <f t="shared" ca="1" si="0"/>
        <v>28</v>
      </c>
      <c r="F24" s="50"/>
      <c r="M24" s="50">
        <f t="shared" ca="1" si="1"/>
        <v>28</v>
      </c>
      <c r="N24" s="248">
        <f t="shared" ca="1" si="2"/>
        <v>28</v>
      </c>
    </row>
    <row r="25" spans="1:14">
      <c r="A25" s="62" t="s">
        <v>163</v>
      </c>
      <c r="B25" s="62" t="s">
        <v>164</v>
      </c>
      <c r="C25" s="62" t="s">
        <v>165</v>
      </c>
      <c r="D25" s="61">
        <v>34954</v>
      </c>
      <c r="E25" s="436">
        <f t="shared" ca="1" si="0"/>
        <v>26</v>
      </c>
      <c r="F25" s="50"/>
      <c r="M25" s="50">
        <f t="shared" ca="1" si="1"/>
        <v>26</v>
      </c>
      <c r="N25" s="248">
        <f t="shared" ca="1" si="2"/>
        <v>26</v>
      </c>
    </row>
    <row r="26" spans="1:14">
      <c r="A26" s="62" t="s">
        <v>37</v>
      </c>
      <c r="B26" s="62" t="s">
        <v>166</v>
      </c>
      <c r="C26" s="62" t="s">
        <v>165</v>
      </c>
      <c r="D26" s="61">
        <v>30253</v>
      </c>
      <c r="E26" s="436">
        <f t="shared" ca="1" si="0"/>
        <v>38</v>
      </c>
      <c r="F26" s="50"/>
      <c r="M26" s="50">
        <f t="shared" ca="1" si="1"/>
        <v>38</v>
      </c>
      <c r="N26" s="248">
        <f t="shared" ca="1" si="2"/>
        <v>38</v>
      </c>
    </row>
    <row r="27" spans="1:14">
      <c r="A27" s="62" t="s">
        <v>36</v>
      </c>
      <c r="B27" s="62" t="s">
        <v>167</v>
      </c>
      <c r="C27" s="62" t="s">
        <v>168</v>
      </c>
      <c r="D27" s="61">
        <v>32451</v>
      </c>
      <c r="E27" s="436">
        <f t="shared" ca="1" si="0"/>
        <v>32</v>
      </c>
      <c r="F27" s="50"/>
      <c r="M27" s="50">
        <f t="shared" ca="1" si="1"/>
        <v>32</v>
      </c>
      <c r="N27" s="248">
        <f t="shared" ca="1" si="2"/>
        <v>32</v>
      </c>
    </row>
    <row r="28" spans="1:14">
      <c r="A28" s="62" t="s">
        <v>169</v>
      </c>
      <c r="B28" s="62" t="s">
        <v>170</v>
      </c>
      <c r="C28" s="62" t="s">
        <v>171</v>
      </c>
      <c r="D28" s="61">
        <v>24172</v>
      </c>
      <c r="E28" s="436">
        <f t="shared" ca="1" si="0"/>
        <v>55</v>
      </c>
      <c r="F28" s="50"/>
      <c r="M28" s="50">
        <f t="shared" ca="1" si="1"/>
        <v>55</v>
      </c>
      <c r="N28" s="248">
        <f t="shared" ca="1" si="2"/>
        <v>55</v>
      </c>
    </row>
    <row r="29" spans="1:14">
      <c r="A29" s="62" t="s">
        <v>320</v>
      </c>
      <c r="B29" s="62" t="s">
        <v>173</v>
      </c>
      <c r="C29" s="62" t="s">
        <v>174</v>
      </c>
      <c r="D29" s="61">
        <v>28244</v>
      </c>
      <c r="E29" s="436">
        <f t="shared" ca="1" si="0"/>
        <v>44</v>
      </c>
      <c r="F29" s="50"/>
      <c r="M29" s="50">
        <f t="shared" ca="1" si="1"/>
        <v>44</v>
      </c>
      <c r="N29" s="248">
        <f t="shared" ca="1" si="2"/>
        <v>44</v>
      </c>
    </row>
    <row r="30" spans="1:14">
      <c r="A30" s="62" t="s">
        <v>175</v>
      </c>
      <c r="B30" s="62" t="s">
        <v>167</v>
      </c>
      <c r="C30" s="62" t="s">
        <v>176</v>
      </c>
      <c r="D30" s="61">
        <v>21929</v>
      </c>
      <c r="E30" s="436">
        <f t="shared" ca="1" si="0"/>
        <v>61</v>
      </c>
      <c r="F30" s="50"/>
      <c r="M30" s="50">
        <f t="shared" ca="1" si="1"/>
        <v>61</v>
      </c>
      <c r="N30" s="248">
        <f t="shared" ca="1" si="2"/>
        <v>61</v>
      </c>
    </row>
    <row r="31" spans="1:14">
      <c r="A31" s="62" t="s">
        <v>177</v>
      </c>
      <c r="B31" s="62" t="s">
        <v>178</v>
      </c>
      <c r="C31" s="62" t="s">
        <v>168</v>
      </c>
      <c r="D31" s="61">
        <v>22196</v>
      </c>
      <c r="E31" s="436">
        <f t="shared" ca="1" si="0"/>
        <v>61</v>
      </c>
      <c r="F31" s="50"/>
      <c r="M31" s="50">
        <f t="shared" ca="1" si="1"/>
        <v>61</v>
      </c>
      <c r="N31" s="248">
        <f t="shared" ca="1" si="2"/>
        <v>61</v>
      </c>
    </row>
    <row r="32" spans="1:14">
      <c r="A32" s="62" t="s">
        <v>179</v>
      </c>
      <c r="B32" s="62" t="s">
        <v>180</v>
      </c>
      <c r="C32" s="62" t="s">
        <v>181</v>
      </c>
      <c r="D32" s="61">
        <v>31967</v>
      </c>
      <c r="E32" s="436">
        <f t="shared" ca="1" si="0"/>
        <v>34</v>
      </c>
      <c r="F32" s="50"/>
      <c r="M32" s="50">
        <f t="shared" ca="1" si="1"/>
        <v>34</v>
      </c>
      <c r="N32" s="248">
        <f t="shared" ca="1" si="2"/>
        <v>34</v>
      </c>
    </row>
    <row r="33" spans="1:14">
      <c r="A33" s="62" t="s">
        <v>182</v>
      </c>
      <c r="B33" s="62" t="s">
        <v>173</v>
      </c>
      <c r="C33" s="62" t="s">
        <v>171</v>
      </c>
      <c r="D33" s="61">
        <v>22803</v>
      </c>
      <c r="E33" s="436">
        <f t="shared" ca="1" si="0"/>
        <v>59</v>
      </c>
      <c r="F33" s="50"/>
      <c r="M33" s="50">
        <f t="shared" ca="1" si="1"/>
        <v>59</v>
      </c>
      <c r="N33" s="248">
        <f t="shared" ca="1" si="2"/>
        <v>59</v>
      </c>
    </row>
    <row r="34" spans="1:14">
      <c r="A34" s="62" t="s">
        <v>182</v>
      </c>
      <c r="B34" s="62" t="s">
        <v>170</v>
      </c>
      <c r="C34" s="62" t="s">
        <v>171</v>
      </c>
      <c r="D34" s="61">
        <v>32940</v>
      </c>
      <c r="E34" s="436">
        <f t="shared" ca="1" si="0"/>
        <v>31</v>
      </c>
      <c r="F34" s="50"/>
      <c r="M34" s="50">
        <f t="shared" ca="1" si="1"/>
        <v>31</v>
      </c>
      <c r="N34" s="248">
        <f t="shared" ca="1" si="2"/>
        <v>31</v>
      </c>
    </row>
    <row r="35" spans="1:14">
      <c r="A35" s="62" t="s">
        <v>183</v>
      </c>
      <c r="B35" s="62" t="s">
        <v>184</v>
      </c>
      <c r="C35" s="62" t="s">
        <v>185</v>
      </c>
      <c r="D35" s="61">
        <v>30735</v>
      </c>
      <c r="E35" s="436">
        <f t="shared" ca="1" si="0"/>
        <v>37</v>
      </c>
      <c r="F35" s="50"/>
      <c r="M35" s="50">
        <f t="shared" ca="1" si="1"/>
        <v>37</v>
      </c>
      <c r="N35" s="248">
        <f t="shared" ca="1" si="2"/>
        <v>37</v>
      </c>
    </row>
    <row r="36" spans="1:14">
      <c r="A36" s="62" t="s">
        <v>186</v>
      </c>
      <c r="B36" s="62" t="s">
        <v>187</v>
      </c>
      <c r="C36" s="62" t="s">
        <v>188</v>
      </c>
      <c r="D36" s="61">
        <v>27437</v>
      </c>
      <c r="E36" s="436">
        <f t="shared" ca="1" si="0"/>
        <v>46</v>
      </c>
      <c r="F36" s="50"/>
      <c r="M36" s="50">
        <f t="shared" ca="1" si="1"/>
        <v>46</v>
      </c>
      <c r="N36" s="248">
        <f t="shared" ca="1" si="2"/>
        <v>46</v>
      </c>
    </row>
    <row r="37" spans="1:14">
      <c r="A37" s="62" t="s">
        <v>189</v>
      </c>
      <c r="B37" s="62" t="s">
        <v>190</v>
      </c>
      <c r="C37" s="62" t="s">
        <v>191</v>
      </c>
      <c r="D37" s="61">
        <v>30483</v>
      </c>
      <c r="E37" s="436">
        <f t="shared" ca="1" si="0"/>
        <v>38</v>
      </c>
      <c r="F37" s="50"/>
      <c r="M37" s="50">
        <f t="shared" ca="1" si="1"/>
        <v>38</v>
      </c>
      <c r="N37" s="248">
        <f t="shared" ca="1" si="2"/>
        <v>38</v>
      </c>
    </row>
    <row r="38" spans="1:14">
      <c r="A38" s="62" t="s">
        <v>192</v>
      </c>
      <c r="B38" s="62" t="s">
        <v>193</v>
      </c>
      <c r="C38" s="62" t="s">
        <v>194</v>
      </c>
      <c r="D38" s="61">
        <v>25530</v>
      </c>
      <c r="E38" s="436">
        <f t="shared" ca="1" si="0"/>
        <v>51</v>
      </c>
      <c r="F38" s="50"/>
      <c r="M38" s="50">
        <f t="shared" ca="1" si="1"/>
        <v>51</v>
      </c>
      <c r="N38" s="248">
        <f t="shared" ca="1" si="2"/>
        <v>51</v>
      </c>
    </row>
    <row r="39" spans="1:14">
      <c r="A39" s="62" t="s">
        <v>195</v>
      </c>
      <c r="B39" s="62" t="s">
        <v>193</v>
      </c>
      <c r="C39" s="62" t="s">
        <v>194</v>
      </c>
      <c r="D39" s="61">
        <v>28444</v>
      </c>
      <c r="E39" s="436">
        <f t="shared" ca="1" si="0"/>
        <v>43</v>
      </c>
      <c r="F39" s="50"/>
      <c r="M39" s="50">
        <f t="shared" ca="1" si="1"/>
        <v>43</v>
      </c>
      <c r="N39" s="248">
        <f t="shared" ca="1" si="2"/>
        <v>43</v>
      </c>
    </row>
    <row r="40" spans="1:14">
      <c r="A40" s="62" t="s">
        <v>196</v>
      </c>
      <c r="B40" s="62" t="s">
        <v>197</v>
      </c>
      <c r="C40" s="62" t="s">
        <v>198</v>
      </c>
      <c r="D40" s="61">
        <v>23588</v>
      </c>
      <c r="E40" s="436">
        <f t="shared" ca="1" si="0"/>
        <v>57</v>
      </c>
      <c r="F40" s="50"/>
      <c r="M40" s="50">
        <f t="shared" ca="1" si="1"/>
        <v>57</v>
      </c>
      <c r="N40" s="248">
        <f t="shared" ca="1" si="2"/>
        <v>57</v>
      </c>
    </row>
    <row r="41" spans="1:14">
      <c r="A41" s="62" t="s">
        <v>196</v>
      </c>
      <c r="B41" s="62" t="s">
        <v>199</v>
      </c>
      <c r="C41" s="62" t="s">
        <v>198</v>
      </c>
      <c r="D41" s="61">
        <v>25023</v>
      </c>
      <c r="E41" s="436">
        <f t="shared" ca="1" si="0"/>
        <v>53</v>
      </c>
      <c r="F41" s="50"/>
      <c r="M41" s="50">
        <f t="shared" ca="1" si="1"/>
        <v>53</v>
      </c>
      <c r="N41" s="248">
        <f t="shared" ca="1" si="2"/>
        <v>53</v>
      </c>
    </row>
    <row r="42" spans="1:14">
      <c r="A42" s="62" t="s">
        <v>200</v>
      </c>
      <c r="B42" s="62" t="s">
        <v>201</v>
      </c>
      <c r="C42" s="62" t="s">
        <v>202</v>
      </c>
      <c r="D42" s="61">
        <v>27820</v>
      </c>
      <c r="E42" s="436">
        <f t="shared" ca="1" si="0"/>
        <v>45</v>
      </c>
      <c r="F42" s="50"/>
      <c r="M42" s="50">
        <f t="shared" ca="1" si="1"/>
        <v>45</v>
      </c>
      <c r="N42" s="248">
        <f t="shared" ca="1" si="2"/>
        <v>45</v>
      </c>
    </row>
    <row r="43" spans="1:14">
      <c r="A43" s="62" t="s">
        <v>203</v>
      </c>
      <c r="B43" s="62" t="s">
        <v>204</v>
      </c>
      <c r="C43" s="62" t="s">
        <v>205</v>
      </c>
      <c r="D43" s="61">
        <v>32252</v>
      </c>
      <c r="E43" s="436">
        <f t="shared" ca="1" si="0"/>
        <v>33</v>
      </c>
      <c r="F43" s="50"/>
      <c r="M43" s="50">
        <f t="shared" ca="1" si="1"/>
        <v>33</v>
      </c>
      <c r="N43" s="248">
        <f t="shared" ca="1" si="2"/>
        <v>33</v>
      </c>
    </row>
    <row r="44" spans="1:14">
      <c r="A44" s="62" t="s">
        <v>206</v>
      </c>
      <c r="B44" s="62" t="s">
        <v>207</v>
      </c>
      <c r="C44" s="62" t="s">
        <v>208</v>
      </c>
      <c r="D44" s="61">
        <v>31274</v>
      </c>
      <c r="E44" s="436">
        <f t="shared" ca="1" si="0"/>
        <v>36</v>
      </c>
      <c r="F44" s="50"/>
      <c r="M44" s="50">
        <f t="shared" ca="1" si="1"/>
        <v>36</v>
      </c>
      <c r="N44" s="248">
        <f t="shared" ca="1" si="2"/>
        <v>36</v>
      </c>
    </row>
    <row r="45" spans="1:14">
      <c r="A45" s="62" t="s">
        <v>209</v>
      </c>
      <c r="B45" s="62" t="s">
        <v>210</v>
      </c>
      <c r="C45" s="62" t="s">
        <v>211</v>
      </c>
      <c r="D45" s="61">
        <v>28781</v>
      </c>
      <c r="E45" s="436">
        <f t="shared" ca="1" si="0"/>
        <v>42</v>
      </c>
      <c r="F45" s="50"/>
      <c r="M45" s="50">
        <f t="shared" ca="1" si="1"/>
        <v>42</v>
      </c>
      <c r="N45" s="248">
        <f t="shared" ca="1" si="2"/>
        <v>42</v>
      </c>
    </row>
    <row r="46" spans="1:14">
      <c r="A46" s="62" t="s">
        <v>212</v>
      </c>
      <c r="B46" s="62" t="s">
        <v>213</v>
      </c>
      <c r="C46" s="62" t="s">
        <v>214</v>
      </c>
      <c r="D46" s="61">
        <v>29304</v>
      </c>
      <c r="E46" s="436">
        <f t="shared" ca="1" si="0"/>
        <v>41</v>
      </c>
      <c r="F46" s="50"/>
      <c r="M46" s="50">
        <f t="shared" ca="1" si="1"/>
        <v>41</v>
      </c>
      <c r="N46" s="248">
        <f t="shared" ca="1" si="2"/>
        <v>41</v>
      </c>
    </row>
    <row r="47" spans="1:14">
      <c r="A47" s="62" t="s">
        <v>324</v>
      </c>
      <c r="B47" s="62" t="s">
        <v>325</v>
      </c>
      <c r="C47" s="62" t="s">
        <v>326</v>
      </c>
      <c r="D47" s="61">
        <v>33034</v>
      </c>
      <c r="E47" s="436">
        <f t="shared" ca="1" si="0"/>
        <v>31</v>
      </c>
      <c r="F47" s="50"/>
      <c r="M47" s="50">
        <f t="shared" ca="1" si="1"/>
        <v>31</v>
      </c>
      <c r="N47" s="248">
        <f t="shared" ca="1" si="2"/>
        <v>31</v>
      </c>
    </row>
    <row r="48" spans="1:14">
      <c r="A48" s="62" t="s">
        <v>327</v>
      </c>
      <c r="B48" s="62" t="s">
        <v>328</v>
      </c>
      <c r="C48" s="62" t="s">
        <v>329</v>
      </c>
      <c r="D48" s="61">
        <v>26348</v>
      </c>
      <c r="E48" s="436">
        <f t="shared" ca="1" si="0"/>
        <v>49</v>
      </c>
      <c r="F48" s="50"/>
      <c r="M48" s="50">
        <f t="shared" ca="1" si="1"/>
        <v>49</v>
      </c>
      <c r="N48" s="248">
        <f t="shared" ca="1" si="2"/>
        <v>49</v>
      </c>
    </row>
    <row r="49" spans="1:14">
      <c r="A49" s="62" t="s">
        <v>215</v>
      </c>
      <c r="B49" s="62" t="s">
        <v>216</v>
      </c>
      <c r="C49" s="62" t="s">
        <v>217</v>
      </c>
      <c r="D49" s="61">
        <v>23627</v>
      </c>
      <c r="E49" s="436">
        <f t="shared" ca="1" si="0"/>
        <v>57</v>
      </c>
      <c r="F49" s="50"/>
      <c r="M49" s="50">
        <f t="shared" ca="1" si="1"/>
        <v>57</v>
      </c>
      <c r="N49" s="248">
        <f t="shared" ca="1" si="2"/>
        <v>57</v>
      </c>
    </row>
    <row r="50" spans="1:14">
      <c r="A50" s="62" t="s">
        <v>218</v>
      </c>
      <c r="B50" s="62" t="s">
        <v>219</v>
      </c>
      <c r="C50" s="62" t="s">
        <v>220</v>
      </c>
      <c r="D50" s="61">
        <v>27889</v>
      </c>
      <c r="E50" s="436">
        <f t="shared" ca="1" si="0"/>
        <v>45</v>
      </c>
      <c r="F50" s="50"/>
      <c r="M50" s="50">
        <f t="shared" ca="1" si="1"/>
        <v>45</v>
      </c>
      <c r="N50" s="248">
        <f t="shared" ca="1" si="2"/>
        <v>45</v>
      </c>
    </row>
    <row r="73" spans="4:8">
      <c r="D73" s="115"/>
      <c r="E73" s="115"/>
      <c r="F73" s="115"/>
      <c r="G73" s="117"/>
      <c r="H73" s="115"/>
    </row>
    <row r="74" spans="4:8">
      <c r="D74" s="115"/>
      <c r="E74" s="115"/>
      <c r="F74" s="115"/>
      <c r="G74" s="117"/>
      <c r="H74" s="115"/>
    </row>
  </sheetData>
  <conditionalFormatting sqref="I4">
    <cfRule type="cellIs" dxfId="7" priority="1" operator="equal">
      <formula>"нет"</formula>
    </cfRule>
    <cfRule type="cellIs" dxfId="6" priority="2" operator="equal">
      <formula>"да"</formula>
    </cfRule>
  </conditionalFormatting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C00000"/>
  </sheetPr>
  <dimension ref="A1:J35"/>
  <sheetViews>
    <sheetView showGridLines="0" workbookViewId="0">
      <selection activeCell="H18" sqref="H18"/>
    </sheetView>
  </sheetViews>
  <sheetFormatPr baseColWidth="10" defaultColWidth="9.1640625" defaultRowHeight="16"/>
  <cols>
    <col min="1" max="1" width="9.5" style="195" customWidth="1"/>
    <col min="2" max="2" width="11.1640625" style="195" customWidth="1"/>
    <col min="3" max="3" width="12.5" style="195" customWidth="1"/>
    <col min="4" max="4" width="20.5" style="195" customWidth="1"/>
    <col min="5" max="5" width="20.33203125" style="195" customWidth="1"/>
    <col min="6" max="6" width="9.1640625" style="195"/>
    <col min="7" max="7" width="22.1640625" style="195" bestFit="1" customWidth="1"/>
    <col min="8" max="8" width="16.5" style="195" bestFit="1" customWidth="1"/>
    <col min="9" max="9" width="12.5" style="195" bestFit="1" customWidth="1"/>
    <col min="10" max="10" width="12.1640625" style="195" bestFit="1" customWidth="1"/>
    <col min="11" max="16384" width="9.1640625" style="195"/>
  </cols>
  <sheetData>
    <row r="1" spans="1:10" ht="30">
      <c r="A1" s="213" t="s">
        <v>847</v>
      </c>
      <c r="B1" s="213" t="s">
        <v>820</v>
      </c>
      <c r="C1" s="213" t="s">
        <v>821</v>
      </c>
      <c r="D1" s="214" t="s">
        <v>822</v>
      </c>
      <c r="E1" s="214" t="s">
        <v>823</v>
      </c>
      <c r="G1" s="289" t="s">
        <v>1032</v>
      </c>
      <c r="H1" s="290">
        <v>41274</v>
      </c>
    </row>
    <row r="2" spans="1:10">
      <c r="A2" s="215" t="s">
        <v>848</v>
      </c>
      <c r="B2" s="216">
        <v>41251</v>
      </c>
      <c r="C2" s="216">
        <v>41253</v>
      </c>
      <c r="D2" s="215">
        <f>C2-B2+1</f>
        <v>3</v>
      </c>
      <c r="E2" s="215">
        <f>NETWORKDAYS(B2,C2,$H$1)</f>
        <v>1</v>
      </c>
      <c r="F2" s="291">
        <v>3</v>
      </c>
      <c r="G2" s="291">
        <v>1</v>
      </c>
    </row>
    <row r="3" spans="1:10">
      <c r="A3" s="215" t="s">
        <v>849</v>
      </c>
      <c r="B3" s="216">
        <v>41251</v>
      </c>
      <c r="C3" s="216">
        <v>41254</v>
      </c>
      <c r="D3" s="215">
        <f t="shared" ref="D3:D35" si="0">C3-B3+1</f>
        <v>4</v>
      </c>
      <c r="E3" s="215">
        <f t="shared" ref="E3:E35" si="1">NETWORKDAYS(B3,C3,$H$1)</f>
        <v>2</v>
      </c>
      <c r="F3" s="291">
        <v>4</v>
      </c>
      <c r="G3" s="291">
        <v>2</v>
      </c>
    </row>
    <row r="4" spans="1:10">
      <c r="A4" s="215" t="s">
        <v>850</v>
      </c>
      <c r="B4" s="216">
        <v>41252</v>
      </c>
      <c r="C4" s="216">
        <v>41253</v>
      </c>
      <c r="D4" s="215">
        <f t="shared" si="0"/>
        <v>2</v>
      </c>
      <c r="E4" s="215">
        <f t="shared" si="1"/>
        <v>1</v>
      </c>
      <c r="F4" s="291">
        <v>2</v>
      </c>
      <c r="G4" s="291">
        <v>1</v>
      </c>
    </row>
    <row r="5" spans="1:10">
      <c r="A5" s="215" t="s">
        <v>851</v>
      </c>
      <c r="B5" s="216">
        <v>41252</v>
      </c>
      <c r="C5" s="216">
        <v>41255</v>
      </c>
      <c r="D5" s="215">
        <f t="shared" si="0"/>
        <v>4</v>
      </c>
      <c r="E5" s="215">
        <f t="shared" si="1"/>
        <v>3</v>
      </c>
      <c r="F5" s="291">
        <v>4</v>
      </c>
      <c r="G5" s="291">
        <v>3</v>
      </c>
    </row>
    <row r="6" spans="1:10">
      <c r="A6" s="215" t="s">
        <v>852</v>
      </c>
      <c r="B6" s="216">
        <v>41254</v>
      </c>
      <c r="C6" s="216">
        <v>41274</v>
      </c>
      <c r="D6" s="215">
        <f t="shared" si="0"/>
        <v>21</v>
      </c>
      <c r="E6" s="215">
        <f t="shared" si="1"/>
        <v>14</v>
      </c>
      <c r="F6" s="291">
        <v>21</v>
      </c>
      <c r="G6" s="291">
        <v>14</v>
      </c>
    </row>
    <row r="7" spans="1:10">
      <c r="A7" s="215" t="s">
        <v>853</v>
      </c>
      <c r="B7" s="216">
        <v>41250</v>
      </c>
      <c r="C7" s="216">
        <v>41251</v>
      </c>
      <c r="D7" s="215">
        <f t="shared" si="0"/>
        <v>2</v>
      </c>
      <c r="E7" s="215">
        <f t="shared" si="1"/>
        <v>1</v>
      </c>
      <c r="F7" s="291">
        <v>2</v>
      </c>
      <c r="G7" s="291">
        <v>1</v>
      </c>
    </row>
    <row r="8" spans="1:10">
      <c r="A8" s="215" t="s">
        <v>854</v>
      </c>
      <c r="B8" s="216">
        <v>41250</v>
      </c>
      <c r="C8" s="216">
        <v>41253</v>
      </c>
      <c r="D8" s="215">
        <f t="shared" si="0"/>
        <v>4</v>
      </c>
      <c r="E8" s="215">
        <f t="shared" si="1"/>
        <v>2</v>
      </c>
      <c r="F8" s="291">
        <v>4</v>
      </c>
      <c r="G8" s="291">
        <v>2</v>
      </c>
    </row>
    <row r="9" spans="1:10">
      <c r="A9" s="215" t="s">
        <v>855</v>
      </c>
      <c r="B9" s="216">
        <v>41251</v>
      </c>
      <c r="C9" s="216">
        <v>41256</v>
      </c>
      <c r="D9" s="215">
        <f t="shared" si="0"/>
        <v>6</v>
      </c>
      <c r="E9" s="215">
        <f t="shared" si="1"/>
        <v>4</v>
      </c>
      <c r="F9" s="291">
        <v>6</v>
      </c>
      <c r="G9" s="291">
        <v>4</v>
      </c>
    </row>
    <row r="10" spans="1:10">
      <c r="A10" s="215" t="s">
        <v>856</v>
      </c>
      <c r="B10" s="216">
        <v>41252</v>
      </c>
      <c r="C10" s="216">
        <v>41254</v>
      </c>
      <c r="D10" s="215">
        <f t="shared" si="0"/>
        <v>3</v>
      </c>
      <c r="E10" s="215">
        <f t="shared" si="1"/>
        <v>2</v>
      </c>
      <c r="F10" s="291">
        <v>3</v>
      </c>
      <c r="G10" s="291">
        <v>2</v>
      </c>
      <c r="H10" s="51" t="s">
        <v>59</v>
      </c>
      <c r="I10" s="53" t="s">
        <v>60</v>
      </c>
      <c r="J10" s="52">
        <v>2</v>
      </c>
    </row>
    <row r="11" spans="1:10">
      <c r="A11" s="215" t="s">
        <v>857</v>
      </c>
      <c r="B11" s="216">
        <v>41252</v>
      </c>
      <c r="C11" s="216">
        <v>41255</v>
      </c>
      <c r="D11" s="215">
        <f t="shared" si="0"/>
        <v>4</v>
      </c>
      <c r="E11" s="215">
        <f t="shared" si="1"/>
        <v>3</v>
      </c>
      <c r="F11" s="291">
        <v>4</v>
      </c>
      <c r="G11" s="291">
        <v>3</v>
      </c>
      <c r="H11" s="54"/>
      <c r="I11" s="59"/>
      <c r="J11" s="250" t="s">
        <v>893</v>
      </c>
    </row>
    <row r="12" spans="1:10">
      <c r="A12" s="215" t="s">
        <v>858</v>
      </c>
      <c r="B12" s="216">
        <v>41252</v>
      </c>
      <c r="C12" s="216">
        <v>41255</v>
      </c>
      <c r="D12" s="215">
        <f t="shared" si="0"/>
        <v>4</v>
      </c>
      <c r="E12" s="215">
        <f t="shared" si="1"/>
        <v>3</v>
      </c>
      <c r="F12" s="291">
        <v>4</v>
      </c>
      <c r="G12" s="291">
        <v>3</v>
      </c>
      <c r="H12" s="55" t="s">
        <v>1030</v>
      </c>
      <c r="I12" s="56"/>
      <c r="J12" s="57" t="str">
        <f t="array" ref="J12">IF(SUM(COUNTIF(D2:D35,F2:F35))=312,"ДА","НЕТ")</f>
        <v>ДА</v>
      </c>
    </row>
    <row r="13" spans="1:10">
      <c r="A13" s="215" t="s">
        <v>859</v>
      </c>
      <c r="B13" s="216">
        <v>41255</v>
      </c>
      <c r="C13" s="216">
        <v>41256</v>
      </c>
      <c r="D13" s="215">
        <f t="shared" si="0"/>
        <v>2</v>
      </c>
      <c r="E13" s="215">
        <f t="shared" si="1"/>
        <v>2</v>
      </c>
      <c r="F13" s="291">
        <v>2</v>
      </c>
      <c r="G13" s="291">
        <v>2</v>
      </c>
      <c r="H13" s="55" t="s">
        <v>1031</v>
      </c>
      <c r="I13" s="56"/>
      <c r="J13" s="57" t="str">
        <f t="array" ref="J13">IF(SUM(COUNTIF(E2:E35,G2:G35))=312,"ДА","НЕТ")</f>
        <v>ДА</v>
      </c>
    </row>
    <row r="14" spans="1:10">
      <c r="A14" s="215" t="s">
        <v>860</v>
      </c>
      <c r="B14" s="216">
        <v>41250</v>
      </c>
      <c r="C14" s="216">
        <v>41251</v>
      </c>
      <c r="D14" s="215">
        <f t="shared" si="0"/>
        <v>2</v>
      </c>
      <c r="E14" s="215">
        <f t="shared" si="1"/>
        <v>1</v>
      </c>
      <c r="F14" s="291">
        <v>2</v>
      </c>
      <c r="G14" s="291">
        <v>1</v>
      </c>
    </row>
    <row r="15" spans="1:10">
      <c r="A15" s="215" t="s">
        <v>861</v>
      </c>
      <c r="B15" s="216">
        <v>41251</v>
      </c>
      <c r="C15" s="216">
        <v>41254</v>
      </c>
      <c r="D15" s="215">
        <f t="shared" si="0"/>
        <v>4</v>
      </c>
      <c r="E15" s="215">
        <f t="shared" si="1"/>
        <v>2</v>
      </c>
      <c r="F15" s="291">
        <v>4</v>
      </c>
      <c r="G15" s="291">
        <v>2</v>
      </c>
    </row>
    <row r="16" spans="1:10">
      <c r="A16" s="215" t="s">
        <v>862</v>
      </c>
      <c r="B16" s="216">
        <v>41250</v>
      </c>
      <c r="C16" s="216">
        <v>41251</v>
      </c>
      <c r="D16" s="215">
        <f t="shared" si="0"/>
        <v>2</v>
      </c>
      <c r="E16" s="215">
        <f t="shared" si="1"/>
        <v>1</v>
      </c>
      <c r="F16" s="291">
        <v>2</v>
      </c>
      <c r="G16" s="291">
        <v>1</v>
      </c>
    </row>
    <row r="17" spans="1:7">
      <c r="A17" s="215" t="s">
        <v>863</v>
      </c>
      <c r="B17" s="216">
        <v>41252</v>
      </c>
      <c r="C17" s="216">
        <v>41253</v>
      </c>
      <c r="D17" s="215">
        <f t="shared" si="0"/>
        <v>2</v>
      </c>
      <c r="E17" s="215">
        <f t="shared" si="1"/>
        <v>1</v>
      </c>
      <c r="F17" s="291">
        <v>2</v>
      </c>
      <c r="G17" s="291">
        <v>1</v>
      </c>
    </row>
    <row r="18" spans="1:7">
      <c r="A18" s="215" t="s">
        <v>864</v>
      </c>
      <c r="B18" s="216">
        <v>41250</v>
      </c>
      <c r="C18" s="216">
        <v>41274</v>
      </c>
      <c r="D18" s="215">
        <f t="shared" si="0"/>
        <v>25</v>
      </c>
      <c r="E18" s="215">
        <f t="shared" si="1"/>
        <v>16</v>
      </c>
      <c r="F18" s="291">
        <v>25</v>
      </c>
      <c r="G18" s="291">
        <v>16</v>
      </c>
    </row>
    <row r="19" spans="1:7">
      <c r="A19" s="215" t="s">
        <v>865</v>
      </c>
      <c r="B19" s="216">
        <v>41250</v>
      </c>
      <c r="C19" s="216">
        <v>41251</v>
      </c>
      <c r="D19" s="215">
        <f t="shared" si="0"/>
        <v>2</v>
      </c>
      <c r="E19" s="215">
        <f t="shared" si="1"/>
        <v>1</v>
      </c>
      <c r="F19" s="291">
        <v>2</v>
      </c>
      <c r="G19" s="291">
        <v>1</v>
      </c>
    </row>
    <row r="20" spans="1:7">
      <c r="A20" s="215" t="s">
        <v>866</v>
      </c>
      <c r="B20" s="216">
        <v>41251</v>
      </c>
      <c r="C20" s="216">
        <v>41254</v>
      </c>
      <c r="D20" s="215">
        <f t="shared" si="0"/>
        <v>4</v>
      </c>
      <c r="E20" s="215">
        <f t="shared" si="1"/>
        <v>2</v>
      </c>
      <c r="F20" s="291">
        <v>4</v>
      </c>
      <c r="G20" s="291">
        <v>2</v>
      </c>
    </row>
    <row r="21" spans="1:7">
      <c r="A21" s="215" t="s">
        <v>867</v>
      </c>
      <c r="B21" s="216">
        <v>41252</v>
      </c>
      <c r="C21" s="216">
        <v>41253</v>
      </c>
      <c r="D21" s="215">
        <f t="shared" si="0"/>
        <v>2</v>
      </c>
      <c r="E21" s="215">
        <f t="shared" si="1"/>
        <v>1</v>
      </c>
      <c r="F21" s="291">
        <v>2</v>
      </c>
      <c r="G21" s="291">
        <v>1</v>
      </c>
    </row>
    <row r="22" spans="1:7">
      <c r="A22" s="215" t="s">
        <v>868</v>
      </c>
      <c r="B22" s="216">
        <v>41254</v>
      </c>
      <c r="C22" s="216">
        <v>41256</v>
      </c>
      <c r="D22" s="215">
        <f t="shared" si="0"/>
        <v>3</v>
      </c>
      <c r="E22" s="215">
        <f t="shared" si="1"/>
        <v>3</v>
      </c>
      <c r="F22" s="291">
        <v>3</v>
      </c>
      <c r="G22" s="291">
        <v>3</v>
      </c>
    </row>
    <row r="23" spans="1:7">
      <c r="A23" s="215" t="s">
        <v>869</v>
      </c>
      <c r="B23" s="216">
        <v>41255</v>
      </c>
      <c r="C23" s="216">
        <v>41262</v>
      </c>
      <c r="D23" s="215">
        <f t="shared" si="0"/>
        <v>8</v>
      </c>
      <c r="E23" s="215">
        <f t="shared" si="1"/>
        <v>6</v>
      </c>
      <c r="F23" s="291">
        <v>8</v>
      </c>
      <c r="G23" s="291">
        <v>6</v>
      </c>
    </row>
    <row r="24" spans="1:7">
      <c r="A24" s="215" t="s">
        <v>870</v>
      </c>
      <c r="B24" s="216">
        <v>41250</v>
      </c>
      <c r="C24" s="216">
        <v>41253</v>
      </c>
      <c r="D24" s="215">
        <f t="shared" si="0"/>
        <v>4</v>
      </c>
      <c r="E24" s="215">
        <f t="shared" si="1"/>
        <v>2</v>
      </c>
      <c r="F24" s="291">
        <v>4</v>
      </c>
      <c r="G24" s="291">
        <v>2</v>
      </c>
    </row>
    <row r="25" spans="1:7">
      <c r="A25" s="215" t="s">
        <v>871</v>
      </c>
      <c r="B25" s="216">
        <v>41251</v>
      </c>
      <c r="C25" s="216">
        <v>41254</v>
      </c>
      <c r="D25" s="215">
        <f t="shared" si="0"/>
        <v>4</v>
      </c>
      <c r="E25" s="215">
        <f t="shared" si="1"/>
        <v>2</v>
      </c>
      <c r="F25" s="291">
        <v>4</v>
      </c>
      <c r="G25" s="291">
        <v>2</v>
      </c>
    </row>
    <row r="26" spans="1:7">
      <c r="A26" s="215" t="s">
        <v>872</v>
      </c>
      <c r="B26" s="216">
        <v>41251</v>
      </c>
      <c r="C26" s="216">
        <v>41254</v>
      </c>
      <c r="D26" s="215">
        <f t="shared" si="0"/>
        <v>4</v>
      </c>
      <c r="E26" s="215">
        <f t="shared" si="1"/>
        <v>2</v>
      </c>
      <c r="F26" s="291">
        <v>4</v>
      </c>
      <c r="G26" s="291">
        <v>2</v>
      </c>
    </row>
    <row r="27" spans="1:7">
      <c r="A27" s="215" t="s">
        <v>873</v>
      </c>
      <c r="B27" s="216">
        <v>41251</v>
      </c>
      <c r="C27" s="216">
        <v>41253</v>
      </c>
      <c r="D27" s="215">
        <f t="shared" si="0"/>
        <v>3</v>
      </c>
      <c r="E27" s="215">
        <f t="shared" si="1"/>
        <v>1</v>
      </c>
      <c r="F27" s="291">
        <v>3</v>
      </c>
      <c r="G27" s="291">
        <v>1</v>
      </c>
    </row>
    <row r="28" spans="1:7">
      <c r="A28" s="215" t="s">
        <v>874</v>
      </c>
      <c r="B28" s="216">
        <v>41254</v>
      </c>
      <c r="C28" s="216">
        <v>41255</v>
      </c>
      <c r="D28" s="215">
        <f t="shared" si="0"/>
        <v>2</v>
      </c>
      <c r="E28" s="215">
        <f t="shared" si="1"/>
        <v>2</v>
      </c>
      <c r="F28" s="291">
        <v>2</v>
      </c>
      <c r="G28" s="291">
        <v>2</v>
      </c>
    </row>
    <row r="29" spans="1:7">
      <c r="A29" s="215" t="s">
        <v>875</v>
      </c>
      <c r="B29" s="216">
        <v>41255</v>
      </c>
      <c r="C29" s="216">
        <v>41258</v>
      </c>
      <c r="D29" s="215">
        <f t="shared" si="0"/>
        <v>4</v>
      </c>
      <c r="E29" s="215">
        <f t="shared" si="1"/>
        <v>3</v>
      </c>
      <c r="F29" s="291">
        <v>4</v>
      </c>
      <c r="G29" s="291">
        <v>3</v>
      </c>
    </row>
    <row r="30" spans="1:7">
      <c r="A30" s="215" t="s">
        <v>876</v>
      </c>
      <c r="B30" s="216">
        <v>41255</v>
      </c>
      <c r="C30" s="216">
        <v>41256</v>
      </c>
      <c r="D30" s="215">
        <f t="shared" si="0"/>
        <v>2</v>
      </c>
      <c r="E30" s="215">
        <f t="shared" si="1"/>
        <v>2</v>
      </c>
      <c r="F30" s="291">
        <v>2</v>
      </c>
      <c r="G30" s="291">
        <v>2</v>
      </c>
    </row>
    <row r="31" spans="1:7">
      <c r="A31" s="215" t="s">
        <v>877</v>
      </c>
      <c r="B31" s="216">
        <v>41250</v>
      </c>
      <c r="C31" s="216">
        <v>41253</v>
      </c>
      <c r="D31" s="215">
        <f t="shared" si="0"/>
        <v>4</v>
      </c>
      <c r="E31" s="215">
        <f t="shared" si="1"/>
        <v>2</v>
      </c>
      <c r="F31" s="291">
        <v>4</v>
      </c>
      <c r="G31" s="291">
        <v>2</v>
      </c>
    </row>
    <row r="32" spans="1:7">
      <c r="A32" s="215" t="s">
        <v>878</v>
      </c>
      <c r="B32" s="216">
        <v>41252</v>
      </c>
      <c r="C32" s="216">
        <v>41254</v>
      </c>
      <c r="D32" s="215">
        <f t="shared" si="0"/>
        <v>3</v>
      </c>
      <c r="E32" s="215">
        <f t="shared" si="1"/>
        <v>2</v>
      </c>
      <c r="F32" s="291">
        <v>3</v>
      </c>
      <c r="G32" s="291">
        <v>2</v>
      </c>
    </row>
    <row r="33" spans="1:7">
      <c r="A33" s="215" t="s">
        <v>879</v>
      </c>
      <c r="B33" s="216">
        <v>41251</v>
      </c>
      <c r="C33" s="216">
        <v>41253</v>
      </c>
      <c r="D33" s="215">
        <f t="shared" si="0"/>
        <v>3</v>
      </c>
      <c r="E33" s="215">
        <f t="shared" si="1"/>
        <v>1</v>
      </c>
      <c r="F33" s="291">
        <v>3</v>
      </c>
      <c r="G33" s="291">
        <v>1</v>
      </c>
    </row>
    <row r="34" spans="1:7">
      <c r="A34" s="215" t="s">
        <v>880</v>
      </c>
      <c r="B34" s="216">
        <v>41252</v>
      </c>
      <c r="C34" s="216">
        <v>41255</v>
      </c>
      <c r="D34" s="215">
        <f t="shared" si="0"/>
        <v>4</v>
      </c>
      <c r="E34" s="215">
        <f t="shared" si="1"/>
        <v>3</v>
      </c>
      <c r="F34" s="291">
        <v>4</v>
      </c>
      <c r="G34" s="291">
        <v>3</v>
      </c>
    </row>
    <row r="35" spans="1:7">
      <c r="A35" s="215" t="s">
        <v>881</v>
      </c>
      <c r="B35" s="216">
        <v>41254</v>
      </c>
      <c r="C35" s="216">
        <v>41274</v>
      </c>
      <c r="D35" s="215">
        <f t="shared" si="0"/>
        <v>21</v>
      </c>
      <c r="E35" s="215">
        <f t="shared" si="1"/>
        <v>14</v>
      </c>
      <c r="F35" s="291">
        <v>21</v>
      </c>
      <c r="G35" s="291">
        <v>14</v>
      </c>
    </row>
  </sheetData>
  <conditionalFormatting sqref="J12:J13">
    <cfRule type="cellIs" dxfId="5" priority="1" operator="equal">
      <formula>"нет"</formula>
    </cfRule>
    <cfRule type="cellIs" dxfId="4" priority="2" operator="equal">
      <formula>"да"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4" tint="0.39997558519241921"/>
  </sheetPr>
  <dimension ref="A1:AH39"/>
  <sheetViews>
    <sheetView tabSelected="1" workbookViewId="0">
      <selection activeCell="E10" sqref="E10"/>
    </sheetView>
  </sheetViews>
  <sheetFormatPr baseColWidth="10" defaultColWidth="8.83203125" defaultRowHeight="15"/>
  <cols>
    <col min="1" max="1" width="26.5" bestFit="1" customWidth="1"/>
    <col min="2" max="2" width="19.83203125" bestFit="1" customWidth="1"/>
    <col min="3" max="3" width="15.5" bestFit="1" customWidth="1"/>
    <col min="4" max="4" width="16.5" customWidth="1"/>
    <col min="5" max="5" width="14" customWidth="1"/>
    <col min="6" max="6" width="13.1640625" customWidth="1"/>
    <col min="7" max="19" width="5.33203125" customWidth="1"/>
    <col min="20" max="20" width="4.5" bestFit="1" customWidth="1"/>
    <col min="25" max="25" width="10.6640625" customWidth="1"/>
    <col min="26" max="26" width="4.33203125" customWidth="1"/>
    <col min="28" max="28" width="8.83203125" style="359"/>
  </cols>
  <sheetData>
    <row r="1" spans="1:34" ht="16">
      <c r="A1" s="119" t="s">
        <v>884</v>
      </c>
      <c r="B1" s="119" t="s">
        <v>885</v>
      </c>
      <c r="C1" s="119" t="s">
        <v>886</v>
      </c>
      <c r="E1" s="225" t="s">
        <v>887</v>
      </c>
      <c r="G1" s="326"/>
      <c r="H1" s="331"/>
      <c r="I1" s="331"/>
      <c r="J1" s="332"/>
      <c r="K1" s="326"/>
      <c r="L1" s="327"/>
      <c r="M1" s="327"/>
      <c r="N1" s="327"/>
      <c r="O1" s="327"/>
      <c r="P1" s="327"/>
      <c r="Q1" s="327"/>
      <c r="R1" s="327"/>
      <c r="T1" s="363"/>
      <c r="U1" s="363"/>
      <c r="V1" s="360"/>
      <c r="W1" s="361"/>
      <c r="X1" s="361"/>
      <c r="Y1" s="362"/>
      <c r="Z1" s="360"/>
      <c r="AA1" s="363"/>
      <c r="AB1" s="358"/>
      <c r="AC1" s="366"/>
      <c r="AD1" s="358"/>
      <c r="AE1" s="358"/>
      <c r="AF1" s="358"/>
      <c r="AG1" s="358"/>
      <c r="AH1" s="359"/>
    </row>
    <row r="2" spans="1:34" ht="16">
      <c r="A2" s="437">
        <v>489</v>
      </c>
      <c r="B2" s="438">
        <v>15</v>
      </c>
      <c r="C2" s="155">
        <v>0</v>
      </c>
      <c r="E2" s="438">
        <f>A2+B2</f>
        <v>504</v>
      </c>
      <c r="G2" s="326"/>
      <c r="H2" s="327"/>
      <c r="I2" s="327"/>
      <c r="J2" s="327"/>
      <c r="K2" s="327"/>
      <c r="L2" s="327"/>
      <c r="M2" s="327"/>
      <c r="N2" s="327"/>
      <c r="O2" s="327"/>
      <c r="P2" s="327"/>
      <c r="Q2" s="327"/>
      <c r="R2" s="327"/>
      <c r="T2" s="363"/>
      <c r="U2" s="363"/>
      <c r="V2" s="360"/>
      <c r="W2" s="363"/>
      <c r="X2" s="363"/>
      <c r="Y2" s="363"/>
      <c r="Z2" s="363"/>
      <c r="AA2" s="363"/>
      <c r="AB2" s="358"/>
      <c r="AC2" s="366"/>
      <c r="AD2" s="358"/>
      <c r="AE2" s="358"/>
      <c r="AF2" s="358"/>
      <c r="AG2" s="358"/>
      <c r="AH2" s="359"/>
    </row>
    <row r="3" spans="1:34" ht="16">
      <c r="A3" s="165">
        <v>490</v>
      </c>
      <c r="B3" s="17">
        <v>15</v>
      </c>
      <c r="C3" s="155" t="s">
        <v>888</v>
      </c>
      <c r="E3" s="217">
        <f>A3+B3</f>
        <v>505</v>
      </c>
      <c r="G3" s="326"/>
      <c r="H3" s="327"/>
      <c r="I3" s="327"/>
      <c r="J3" s="327"/>
      <c r="K3" s="327"/>
      <c r="L3" s="327"/>
      <c r="M3" s="327"/>
      <c r="N3" s="327"/>
      <c r="O3" s="327"/>
      <c r="P3" s="327"/>
      <c r="Q3" s="327"/>
      <c r="R3" s="327"/>
      <c r="T3" s="363"/>
      <c r="U3" s="363"/>
      <c r="V3" s="360"/>
      <c r="W3" s="363"/>
      <c r="X3" s="363"/>
      <c r="Y3" s="363"/>
      <c r="Z3" s="363"/>
      <c r="AA3" s="363"/>
      <c r="AB3" s="358"/>
      <c r="AC3" s="366"/>
      <c r="AD3" s="358"/>
      <c r="AE3" s="358"/>
      <c r="AF3" s="358"/>
      <c r="AG3" s="358"/>
      <c r="AH3" s="359"/>
    </row>
    <row r="4" spans="1:34" ht="21">
      <c r="A4" s="165">
        <v>111</v>
      </c>
      <c r="B4" s="17">
        <v>222</v>
      </c>
      <c r="C4" s="155">
        <v>333</v>
      </c>
      <c r="E4" s="217">
        <f>A4+B4</f>
        <v>333</v>
      </c>
      <c r="G4" s="326"/>
      <c r="H4" s="329"/>
      <c r="I4" s="327"/>
      <c r="J4" s="327"/>
      <c r="K4" s="327"/>
      <c r="L4" s="327"/>
      <c r="M4" s="327"/>
      <c r="N4" s="327"/>
      <c r="O4" s="327"/>
      <c r="P4" s="327"/>
      <c r="Q4" s="327"/>
      <c r="R4" s="327"/>
      <c r="T4" s="363"/>
      <c r="U4" s="363"/>
      <c r="V4" s="360"/>
      <c r="W4" s="329"/>
      <c r="X4" s="363"/>
      <c r="Y4" s="363"/>
      <c r="Z4" s="363"/>
      <c r="AA4" s="363"/>
      <c r="AB4" s="358"/>
      <c r="AC4" s="366"/>
      <c r="AD4" s="358"/>
      <c r="AE4" s="358"/>
      <c r="AF4" s="358"/>
      <c r="AG4" s="358"/>
      <c r="AH4" s="359"/>
    </row>
    <row r="5" spans="1:34" ht="21">
      <c r="A5" s="165">
        <v>10</v>
      </c>
      <c r="B5" s="17">
        <v>1</v>
      </c>
      <c r="C5" s="258"/>
      <c r="D5" s="17"/>
      <c r="E5" s="217">
        <f>A5-B5</f>
        <v>9</v>
      </c>
      <c r="G5" s="326"/>
      <c r="H5" s="327"/>
      <c r="I5" s="330"/>
      <c r="J5" s="330"/>
      <c r="K5" s="330"/>
      <c r="L5" s="327"/>
      <c r="M5" s="327"/>
      <c r="N5" s="327"/>
      <c r="O5" s="327"/>
      <c r="P5" s="327"/>
      <c r="Q5" s="327"/>
      <c r="R5" s="327"/>
      <c r="T5" s="363"/>
      <c r="U5" s="363"/>
      <c r="V5" s="360"/>
      <c r="W5" s="363"/>
      <c r="X5" s="364"/>
      <c r="Y5" s="364"/>
      <c r="Z5" s="364"/>
      <c r="AA5" s="363"/>
      <c r="AB5" s="358"/>
      <c r="AC5" s="366"/>
      <c r="AD5" s="358"/>
      <c r="AE5" s="358"/>
      <c r="AF5" s="358"/>
      <c r="AG5" s="358"/>
      <c r="AH5" s="359"/>
    </row>
    <row r="6" spans="1:34" ht="16">
      <c r="A6" s="226" t="s">
        <v>891</v>
      </c>
      <c r="B6" s="17">
        <v>600</v>
      </c>
      <c r="C6" s="155">
        <v>400</v>
      </c>
      <c r="E6" s="17">
        <f>SUM(A6:C6)</f>
        <v>1000</v>
      </c>
      <c r="G6" s="326"/>
      <c r="H6" s="331"/>
      <c r="I6" s="331"/>
      <c r="J6" s="332"/>
      <c r="K6" s="326"/>
      <c r="L6" s="327"/>
      <c r="M6" s="327"/>
      <c r="N6" s="327"/>
      <c r="O6" s="327"/>
      <c r="P6" s="327"/>
      <c r="Q6" s="327"/>
      <c r="R6" s="327"/>
      <c r="T6" s="363"/>
      <c r="U6" s="363"/>
      <c r="V6" s="360"/>
      <c r="W6" s="361"/>
      <c r="X6" s="361"/>
      <c r="Y6" s="362"/>
      <c r="Z6" s="360"/>
      <c r="AA6" s="363"/>
      <c r="AB6" s="358"/>
      <c r="AC6" s="366"/>
      <c r="AD6" s="358"/>
      <c r="AE6" s="358"/>
      <c r="AF6" s="358"/>
      <c r="AG6" s="358"/>
      <c r="AH6" s="359"/>
    </row>
    <row r="7" spans="1:34" ht="16">
      <c r="A7" s="130" t="s">
        <v>882</v>
      </c>
      <c r="G7" s="326"/>
      <c r="H7" s="331"/>
      <c r="I7" s="331"/>
      <c r="J7" s="332"/>
      <c r="K7" s="326"/>
      <c r="L7" s="327"/>
      <c r="M7" s="327"/>
      <c r="N7" s="327"/>
      <c r="O7" s="327"/>
      <c r="P7" s="327"/>
      <c r="Q7" s="327"/>
      <c r="R7" s="327"/>
      <c r="T7" s="363"/>
      <c r="U7" s="363"/>
      <c r="V7" s="360"/>
      <c r="W7" s="361"/>
      <c r="X7" s="361"/>
      <c r="Y7" s="362"/>
      <c r="Z7" s="360"/>
      <c r="AA7" s="363"/>
      <c r="AB7" s="358"/>
      <c r="AC7" s="366"/>
      <c r="AD7" s="358"/>
      <c r="AE7" s="358"/>
      <c r="AF7" s="358"/>
      <c r="AG7" s="358"/>
      <c r="AH7" s="359"/>
    </row>
    <row r="8" spans="1:34" ht="16">
      <c r="G8" s="326"/>
      <c r="H8" s="326"/>
      <c r="I8" s="326"/>
      <c r="J8" s="333"/>
      <c r="K8" s="326"/>
      <c r="L8" s="327"/>
      <c r="M8" s="327"/>
      <c r="N8" s="327"/>
      <c r="O8" s="327"/>
      <c r="P8" s="327"/>
      <c r="Q8" s="327"/>
      <c r="R8" s="327"/>
      <c r="T8" s="363"/>
      <c r="U8" s="363"/>
      <c r="V8" s="360"/>
      <c r="W8" s="360"/>
      <c r="X8" s="360"/>
      <c r="Y8" s="365"/>
      <c r="Z8" s="360"/>
      <c r="AA8" s="363"/>
      <c r="AB8" s="358"/>
      <c r="AC8" s="366"/>
      <c r="AD8" s="358"/>
      <c r="AE8" s="358"/>
      <c r="AF8" s="358"/>
      <c r="AG8" s="358"/>
      <c r="AH8" s="359"/>
    </row>
    <row r="9" spans="1:34" ht="16">
      <c r="A9" s="119" t="s">
        <v>884</v>
      </c>
      <c r="B9" s="119" t="s">
        <v>885</v>
      </c>
      <c r="C9" s="119" t="s">
        <v>886</v>
      </c>
      <c r="E9" s="119" t="s">
        <v>887</v>
      </c>
      <c r="G9" s="327"/>
      <c r="H9" s="327"/>
      <c r="I9" s="327"/>
      <c r="J9" s="327"/>
      <c r="K9" s="327"/>
      <c r="L9" s="327"/>
      <c r="M9" s="327"/>
      <c r="N9" s="327"/>
      <c r="O9" s="327"/>
      <c r="P9" s="327"/>
      <c r="Q9" s="327"/>
      <c r="R9" s="327"/>
      <c r="T9" s="363"/>
      <c r="U9" s="363"/>
      <c r="V9" s="363"/>
      <c r="W9" s="363"/>
      <c r="X9" s="363"/>
      <c r="Y9" s="363"/>
      <c r="Z9" s="363"/>
      <c r="AA9" s="363"/>
      <c r="AB9" s="358"/>
      <c r="AC9" s="366"/>
      <c r="AD9" s="358"/>
      <c r="AE9" s="358"/>
      <c r="AF9" s="358"/>
      <c r="AG9" s="358"/>
      <c r="AH9" s="359"/>
    </row>
    <row r="10" spans="1:34">
      <c r="A10" s="165">
        <v>489</v>
      </c>
      <c r="B10" s="17">
        <v>15</v>
      </c>
      <c r="C10" s="155">
        <v>0</v>
      </c>
      <c r="E10" s="217">
        <f>A10+B10</f>
        <v>504</v>
      </c>
      <c r="F10" s="50">
        <v>168</v>
      </c>
      <c r="G10" s="327"/>
      <c r="H10" s="327"/>
      <c r="I10" s="327"/>
      <c r="J10" s="327"/>
      <c r="K10" s="327"/>
      <c r="L10" s="327"/>
      <c r="M10" s="327"/>
      <c r="N10" s="327"/>
      <c r="O10" s="327"/>
      <c r="P10" s="327"/>
      <c r="Q10" s="327"/>
      <c r="R10" s="327"/>
      <c r="T10" s="363"/>
      <c r="U10" s="363"/>
      <c r="V10" s="363"/>
      <c r="W10" s="363"/>
      <c r="X10" s="363"/>
      <c r="Y10" s="363"/>
      <c r="Z10" s="363"/>
      <c r="AA10" s="363"/>
      <c r="AB10" s="358"/>
      <c r="AC10" s="366"/>
      <c r="AD10" s="358"/>
      <c r="AE10" s="358"/>
      <c r="AF10" s="358"/>
      <c r="AG10" s="358"/>
      <c r="AH10" s="359"/>
    </row>
    <row r="11" spans="1:34" ht="16" thickBot="1">
      <c r="A11" s="165">
        <v>490</v>
      </c>
      <c r="B11" s="17">
        <v>15</v>
      </c>
      <c r="C11" s="155" t="s">
        <v>888</v>
      </c>
      <c r="E11" s="257">
        <f>A11/B11</f>
        <v>32.666666666666664</v>
      </c>
      <c r="F11" s="50">
        <v>168.33333333333334</v>
      </c>
      <c r="T11" s="363"/>
      <c r="U11" s="363"/>
      <c r="V11" s="363"/>
      <c r="W11" s="363"/>
      <c r="X11" s="363"/>
      <c r="Y11" s="363"/>
      <c r="Z11" s="363"/>
      <c r="AA11" s="363"/>
      <c r="AC11" s="367"/>
      <c r="AD11" s="359"/>
      <c r="AE11" s="359"/>
      <c r="AF11" s="359"/>
      <c r="AG11" s="359"/>
      <c r="AH11" s="359"/>
    </row>
    <row r="12" spans="1:34" ht="16" thickTop="1">
      <c r="A12" s="165">
        <v>111</v>
      </c>
      <c r="B12" s="17">
        <v>222</v>
      </c>
      <c r="C12" s="155">
        <v>3</v>
      </c>
      <c r="E12" s="217">
        <f>A12+B12+C12</f>
        <v>336</v>
      </c>
      <c r="F12" s="50">
        <v>336</v>
      </c>
      <c r="G12" s="368"/>
      <c r="H12" s="369" t="s">
        <v>1131</v>
      </c>
      <c r="I12" s="369"/>
      <c r="J12" s="369"/>
      <c r="K12" s="369"/>
      <c r="L12" s="369"/>
      <c r="M12" s="369"/>
      <c r="N12" s="369"/>
      <c r="O12" s="370"/>
      <c r="AC12" s="367"/>
      <c r="AD12" s="359"/>
      <c r="AE12" s="359"/>
      <c r="AF12" s="359"/>
      <c r="AG12" s="359"/>
      <c r="AH12" s="359"/>
    </row>
    <row r="13" spans="1:34">
      <c r="A13" s="165">
        <v>10</v>
      </c>
      <c r="B13" s="17">
        <v>1</v>
      </c>
      <c r="C13" s="256"/>
      <c r="D13" s="17"/>
      <c r="E13" s="217">
        <f>A13-B13</f>
        <v>9</v>
      </c>
      <c r="F13" s="50">
        <v>9</v>
      </c>
      <c r="G13" s="371"/>
      <c r="H13" s="363" t="s">
        <v>1130</v>
      </c>
      <c r="I13" s="363"/>
      <c r="J13" s="363"/>
      <c r="K13" s="363"/>
      <c r="L13" s="363"/>
      <c r="M13" s="363"/>
      <c r="N13" s="363"/>
      <c r="O13" s="372"/>
      <c r="AC13" s="367"/>
      <c r="AD13" s="359"/>
      <c r="AE13" s="359"/>
      <c r="AF13" s="359"/>
      <c r="AG13" s="359"/>
      <c r="AH13" s="359"/>
    </row>
    <row r="14" spans="1:34">
      <c r="A14" s="165">
        <v>1</v>
      </c>
      <c r="B14" s="17">
        <v>600</v>
      </c>
      <c r="C14" s="155">
        <v>400</v>
      </c>
      <c r="E14" s="17">
        <f>SUM(A14:C14)</f>
        <v>1001</v>
      </c>
      <c r="G14" s="371"/>
      <c r="H14" s="363" t="s">
        <v>1132</v>
      </c>
      <c r="I14" s="363"/>
      <c r="J14" s="363"/>
      <c r="K14" s="363"/>
      <c r="L14" s="363"/>
      <c r="M14" s="363"/>
      <c r="N14" s="363"/>
      <c r="O14" s="372"/>
      <c r="AC14" s="367"/>
      <c r="AD14" s="359"/>
      <c r="AE14" s="359"/>
      <c r="AF14" s="359"/>
      <c r="AG14" s="359"/>
      <c r="AH14" s="359"/>
    </row>
    <row r="15" spans="1:34" ht="16" thickBot="1">
      <c r="A15" s="224"/>
      <c r="B15" s="130"/>
      <c r="F15" s="50"/>
      <c r="G15" s="373"/>
      <c r="H15" s="374" t="s">
        <v>1133</v>
      </c>
      <c r="I15" s="374"/>
      <c r="J15" s="374"/>
      <c r="K15" s="374"/>
      <c r="L15" s="374"/>
      <c r="M15" s="374"/>
      <c r="N15" s="374"/>
      <c r="O15" s="375"/>
      <c r="T15" s="227" t="s">
        <v>1080</v>
      </c>
      <c r="U15" s="227"/>
      <c r="V15" s="227"/>
      <c r="W15" s="227"/>
      <c r="X15" s="227"/>
      <c r="Y15" s="227"/>
      <c r="Z15" s="227"/>
      <c r="AC15" s="367"/>
      <c r="AD15" s="359"/>
      <c r="AE15" s="359"/>
      <c r="AF15" s="359"/>
      <c r="AG15" s="359"/>
      <c r="AH15" s="359"/>
    </row>
    <row r="16" spans="1:34" ht="16" thickTop="1">
      <c r="G16" s="31"/>
    </row>
    <row r="17" spans="1:26">
      <c r="A17" s="130" t="s">
        <v>883</v>
      </c>
      <c r="D17" s="292">
        <v>12555678</v>
      </c>
    </row>
    <row r="18" spans="1:26">
      <c r="A18" s="218">
        <v>1</v>
      </c>
      <c r="B18" s="219">
        <f t="shared" ref="B18:B27" si="0">A18*$E$18</f>
        <v>75</v>
      </c>
      <c r="D18" s="223" t="s">
        <v>889</v>
      </c>
      <c r="E18" s="223">
        <v>75</v>
      </c>
      <c r="G18" s="430" t="s">
        <v>890</v>
      </c>
      <c r="H18" s="431"/>
      <c r="I18" s="431"/>
      <c r="J18" s="431"/>
      <c r="K18" s="431"/>
      <c r="L18" s="431"/>
      <c r="M18" s="431"/>
      <c r="N18" s="431"/>
      <c r="O18" s="431"/>
      <c r="P18" s="431"/>
      <c r="Q18" s="432"/>
      <c r="T18" t="s">
        <v>1082</v>
      </c>
      <c r="U18" s="220">
        <f>$W$20*1</f>
        <v>3</v>
      </c>
      <c r="V18" s="220">
        <f>$W$20*1</f>
        <v>3</v>
      </c>
      <c r="W18" s="220">
        <f>$W$20*1</f>
        <v>3</v>
      </c>
      <c r="X18" s="220">
        <f>$W$20*1</f>
        <v>3</v>
      </c>
      <c r="Y18" s="220">
        <f>$W$20*1</f>
        <v>3</v>
      </c>
    </row>
    <row r="19" spans="1:26">
      <c r="A19" s="218">
        <v>2</v>
      </c>
      <c r="B19" s="219">
        <f t="shared" si="0"/>
        <v>150</v>
      </c>
      <c r="G19" s="218"/>
      <c r="H19" s="218">
        <v>1</v>
      </c>
      <c r="I19" s="218">
        <v>2</v>
      </c>
      <c r="J19" s="218">
        <v>3</v>
      </c>
      <c r="K19" s="218">
        <v>4</v>
      </c>
      <c r="L19" s="218">
        <v>5</v>
      </c>
      <c r="M19" s="218">
        <v>6</v>
      </c>
      <c r="N19" s="218">
        <v>7</v>
      </c>
      <c r="O19" s="218">
        <v>8</v>
      </c>
      <c r="P19" s="218">
        <v>9</v>
      </c>
      <c r="Q19" s="218">
        <v>10</v>
      </c>
      <c r="U19" s="220">
        <f>$W$20*1</f>
        <v>3</v>
      </c>
      <c r="V19" s="221"/>
      <c r="W19" s="221"/>
      <c r="X19" s="221"/>
      <c r="Y19" s="220">
        <f>$W$20*1</f>
        <v>3</v>
      </c>
    </row>
    <row r="20" spans="1:26">
      <c r="A20" s="218">
        <v>3</v>
      </c>
      <c r="B20" s="219">
        <f t="shared" si="0"/>
        <v>225</v>
      </c>
      <c r="G20" s="218">
        <v>1</v>
      </c>
      <c r="H20" s="24">
        <f t="shared" ref="H20:Q29" si="1">$G20*H$19</f>
        <v>1</v>
      </c>
      <c r="I20" s="24">
        <f t="shared" si="1"/>
        <v>2</v>
      </c>
      <c r="J20" s="24">
        <f t="shared" si="1"/>
        <v>3</v>
      </c>
      <c r="K20" s="24">
        <f t="shared" si="1"/>
        <v>4</v>
      </c>
      <c r="L20" s="24">
        <f t="shared" si="1"/>
        <v>5</v>
      </c>
      <c r="M20" s="24">
        <f t="shared" si="1"/>
        <v>6</v>
      </c>
      <c r="N20" s="24">
        <f t="shared" si="1"/>
        <v>7</v>
      </c>
      <c r="O20" s="24">
        <f t="shared" si="1"/>
        <v>8</v>
      </c>
      <c r="P20" s="24">
        <f t="shared" si="1"/>
        <v>9</v>
      </c>
      <c r="Q20" s="24">
        <f t="shared" si="1"/>
        <v>10</v>
      </c>
      <c r="U20" s="220">
        <f>$W$20*1</f>
        <v>3</v>
      </c>
      <c r="V20" s="221"/>
      <c r="W20" s="222">
        <v>3</v>
      </c>
      <c r="X20" s="221"/>
      <c r="Y20" s="220">
        <f>$W$20*1</f>
        <v>3</v>
      </c>
    </row>
    <row r="21" spans="1:26">
      <c r="A21" s="218">
        <v>4</v>
      </c>
      <c r="B21" s="219">
        <f t="shared" si="0"/>
        <v>300</v>
      </c>
      <c r="G21" s="218">
        <v>2</v>
      </c>
      <c r="H21" s="24">
        <f t="shared" si="1"/>
        <v>2</v>
      </c>
      <c r="I21" s="24">
        <f t="shared" si="1"/>
        <v>4</v>
      </c>
      <c r="J21" s="24">
        <f t="shared" si="1"/>
        <v>6</v>
      </c>
      <c r="K21" s="24">
        <f t="shared" si="1"/>
        <v>8</v>
      </c>
      <c r="L21" s="24">
        <f t="shared" si="1"/>
        <v>10</v>
      </c>
      <c r="M21" s="24">
        <f t="shared" si="1"/>
        <v>12</v>
      </c>
      <c r="N21" s="24">
        <f t="shared" si="1"/>
        <v>14</v>
      </c>
      <c r="O21" s="24">
        <f t="shared" si="1"/>
        <v>16</v>
      </c>
      <c r="P21" s="24">
        <f t="shared" si="1"/>
        <v>18</v>
      </c>
      <c r="Q21" s="24">
        <f t="shared" si="1"/>
        <v>20</v>
      </c>
      <c r="U21" s="220">
        <f>$W$20*1</f>
        <v>3</v>
      </c>
      <c r="V21" s="221"/>
      <c r="W21" s="221"/>
      <c r="X21" s="221"/>
      <c r="Y21" s="220">
        <f>$W$20*1</f>
        <v>3</v>
      </c>
    </row>
    <row r="22" spans="1:26">
      <c r="A22" s="218">
        <v>5</v>
      </c>
      <c r="B22" s="219">
        <f t="shared" si="0"/>
        <v>375</v>
      </c>
      <c r="G22" s="218">
        <v>3</v>
      </c>
      <c r="H22" s="24">
        <f t="shared" si="1"/>
        <v>3</v>
      </c>
      <c r="I22" s="24">
        <f t="shared" si="1"/>
        <v>6</v>
      </c>
      <c r="J22" s="24">
        <f t="shared" si="1"/>
        <v>9</v>
      </c>
      <c r="K22" s="24">
        <f t="shared" si="1"/>
        <v>12</v>
      </c>
      <c r="L22" s="24">
        <f t="shared" si="1"/>
        <v>15</v>
      </c>
      <c r="M22" s="24">
        <f t="shared" si="1"/>
        <v>18</v>
      </c>
      <c r="N22" s="24">
        <f t="shared" si="1"/>
        <v>21</v>
      </c>
      <c r="O22" s="24">
        <f t="shared" si="1"/>
        <v>24</v>
      </c>
      <c r="P22" s="24">
        <f t="shared" si="1"/>
        <v>27</v>
      </c>
      <c r="Q22" s="24">
        <f t="shared" si="1"/>
        <v>30</v>
      </c>
      <c r="U22" s="220">
        <f>$W$20*1</f>
        <v>3</v>
      </c>
      <c r="V22" s="220">
        <f>$W$20*1</f>
        <v>3</v>
      </c>
      <c r="W22" s="220">
        <f>$W$20*1</f>
        <v>3</v>
      </c>
      <c r="X22" s="220">
        <f>$W$20*1</f>
        <v>3</v>
      </c>
      <c r="Y22" s="220">
        <f>$W$20*1</f>
        <v>3</v>
      </c>
    </row>
    <row r="23" spans="1:26">
      <c r="A23" s="218">
        <v>6</v>
      </c>
      <c r="B23" s="219">
        <f t="shared" si="0"/>
        <v>450</v>
      </c>
      <c r="G23" s="218">
        <v>4</v>
      </c>
      <c r="H23" s="24">
        <f t="shared" si="1"/>
        <v>4</v>
      </c>
      <c r="I23" s="24">
        <f t="shared" si="1"/>
        <v>8</v>
      </c>
      <c r="J23" s="24">
        <f t="shared" si="1"/>
        <v>12</v>
      </c>
      <c r="K23" s="24">
        <f t="shared" si="1"/>
        <v>16</v>
      </c>
      <c r="L23" s="24">
        <f t="shared" si="1"/>
        <v>20</v>
      </c>
      <c r="M23" s="24">
        <f t="shared" si="1"/>
        <v>24</v>
      </c>
      <c r="N23" s="24">
        <f t="shared" si="1"/>
        <v>28</v>
      </c>
      <c r="O23" s="24">
        <f t="shared" si="1"/>
        <v>32</v>
      </c>
      <c r="P23" s="24">
        <f t="shared" si="1"/>
        <v>36</v>
      </c>
      <c r="Q23" s="24">
        <f t="shared" si="1"/>
        <v>40</v>
      </c>
    </row>
    <row r="24" spans="1:26">
      <c r="A24" s="218">
        <v>7</v>
      </c>
      <c r="B24" s="219">
        <f t="shared" si="0"/>
        <v>525</v>
      </c>
      <c r="G24" s="218">
        <v>5</v>
      </c>
      <c r="H24" s="24">
        <f t="shared" si="1"/>
        <v>5</v>
      </c>
      <c r="I24" s="24">
        <f t="shared" si="1"/>
        <v>10</v>
      </c>
      <c r="J24" s="24">
        <f t="shared" si="1"/>
        <v>15</v>
      </c>
      <c r="K24" s="24">
        <f t="shared" si="1"/>
        <v>20</v>
      </c>
      <c r="L24" s="24">
        <f t="shared" si="1"/>
        <v>25</v>
      </c>
      <c r="M24" s="24">
        <f t="shared" si="1"/>
        <v>30</v>
      </c>
      <c r="N24" s="24">
        <f t="shared" si="1"/>
        <v>35</v>
      </c>
      <c r="O24" s="24">
        <f t="shared" si="1"/>
        <v>40</v>
      </c>
      <c r="P24" s="24">
        <f t="shared" si="1"/>
        <v>45</v>
      </c>
      <c r="Q24" s="24">
        <f t="shared" si="1"/>
        <v>50</v>
      </c>
      <c r="T24" t="s">
        <v>1083</v>
      </c>
      <c r="U24" s="220">
        <v>1</v>
      </c>
      <c r="V24" s="220">
        <v>2</v>
      </c>
      <c r="W24" s="220">
        <v>3</v>
      </c>
      <c r="X24" s="220">
        <v>4</v>
      </c>
      <c r="Y24" s="220">
        <v>5</v>
      </c>
    </row>
    <row r="25" spans="1:26">
      <c r="A25" s="218">
        <v>8</v>
      </c>
      <c r="B25" s="219">
        <f t="shared" si="0"/>
        <v>600</v>
      </c>
      <c r="G25" s="218">
        <v>6</v>
      </c>
      <c r="H25" s="24">
        <f t="shared" si="1"/>
        <v>6</v>
      </c>
      <c r="I25" s="24">
        <f t="shared" si="1"/>
        <v>12</v>
      </c>
      <c r="J25" s="24">
        <f t="shared" si="1"/>
        <v>18</v>
      </c>
      <c r="K25" s="24">
        <f t="shared" si="1"/>
        <v>24</v>
      </c>
      <c r="L25" s="24">
        <f t="shared" si="1"/>
        <v>30</v>
      </c>
      <c r="M25" s="24">
        <f t="shared" si="1"/>
        <v>36</v>
      </c>
      <c r="N25" s="24">
        <f t="shared" si="1"/>
        <v>42</v>
      </c>
      <c r="O25" s="24">
        <f t="shared" si="1"/>
        <v>48</v>
      </c>
      <c r="P25" s="24">
        <f t="shared" si="1"/>
        <v>54</v>
      </c>
      <c r="Q25" s="24">
        <f t="shared" si="1"/>
        <v>60</v>
      </c>
      <c r="U25" s="220">
        <v>16</v>
      </c>
      <c r="V25" s="221"/>
      <c r="W25" s="221" t="s">
        <v>1224</v>
      </c>
      <c r="X25" s="221"/>
      <c r="Y25" s="220">
        <v>6</v>
      </c>
    </row>
    <row r="26" spans="1:26">
      <c r="A26" s="218">
        <v>9</v>
      </c>
      <c r="B26" s="219">
        <f t="shared" si="0"/>
        <v>675</v>
      </c>
      <c r="G26" s="218">
        <v>7</v>
      </c>
      <c r="H26" s="24">
        <f t="shared" si="1"/>
        <v>7</v>
      </c>
      <c r="I26" s="24">
        <f t="shared" si="1"/>
        <v>14</v>
      </c>
      <c r="J26" s="24">
        <f t="shared" si="1"/>
        <v>21</v>
      </c>
      <c r="K26" s="24">
        <f t="shared" si="1"/>
        <v>28</v>
      </c>
      <c r="L26" s="24">
        <f t="shared" si="1"/>
        <v>35</v>
      </c>
      <c r="M26" s="24">
        <f t="shared" si="1"/>
        <v>42</v>
      </c>
      <c r="N26" s="24">
        <f t="shared" si="1"/>
        <v>49</v>
      </c>
      <c r="O26" s="24">
        <f t="shared" si="1"/>
        <v>56</v>
      </c>
      <c r="P26" s="24">
        <f t="shared" si="1"/>
        <v>63</v>
      </c>
      <c r="Q26" s="24">
        <f t="shared" si="1"/>
        <v>70</v>
      </c>
      <c r="U26" s="220">
        <v>15</v>
      </c>
      <c r="V26" s="221"/>
      <c r="W26" s="222">
        <f>U24+V24+W24+X24+Y24+Y25+Y26+Y27+Y28+X28+W28+V28+U28+U27+U26+U25</f>
        <v>136</v>
      </c>
      <c r="X26" s="221"/>
      <c r="Y26" s="220">
        <v>7</v>
      </c>
    </row>
    <row r="27" spans="1:26">
      <c r="A27" s="218">
        <v>10</v>
      </c>
      <c r="B27" s="219">
        <f t="shared" si="0"/>
        <v>750</v>
      </c>
      <c r="G27" s="218">
        <v>8</v>
      </c>
      <c r="H27" s="24">
        <f t="shared" si="1"/>
        <v>8</v>
      </c>
      <c r="I27" s="24">
        <f t="shared" si="1"/>
        <v>16</v>
      </c>
      <c r="J27" s="24">
        <f t="shared" si="1"/>
        <v>24</v>
      </c>
      <c r="K27" s="24">
        <f t="shared" si="1"/>
        <v>32</v>
      </c>
      <c r="L27" s="24">
        <f t="shared" si="1"/>
        <v>40</v>
      </c>
      <c r="M27" s="24">
        <f t="shared" si="1"/>
        <v>48</v>
      </c>
      <c r="N27" s="24">
        <f t="shared" si="1"/>
        <v>56</v>
      </c>
      <c r="O27" s="24">
        <f t="shared" si="1"/>
        <v>64</v>
      </c>
      <c r="P27" s="24">
        <f t="shared" si="1"/>
        <v>72</v>
      </c>
      <c r="Q27" s="24">
        <f t="shared" si="1"/>
        <v>80</v>
      </c>
      <c r="U27" s="220">
        <v>14</v>
      </c>
      <c r="V27" s="221"/>
      <c r="W27" s="221"/>
      <c r="X27" s="221"/>
      <c r="Y27" s="220">
        <v>8</v>
      </c>
    </row>
    <row r="28" spans="1:26">
      <c r="G28" s="218">
        <v>9</v>
      </c>
      <c r="H28" s="24">
        <f t="shared" si="1"/>
        <v>9</v>
      </c>
      <c r="I28" s="24">
        <f t="shared" si="1"/>
        <v>18</v>
      </c>
      <c r="J28" s="24">
        <f t="shared" si="1"/>
        <v>27</v>
      </c>
      <c r="K28" s="24">
        <f t="shared" si="1"/>
        <v>36</v>
      </c>
      <c r="L28" s="24">
        <f t="shared" si="1"/>
        <v>45</v>
      </c>
      <c r="M28" s="24">
        <f t="shared" si="1"/>
        <v>54</v>
      </c>
      <c r="N28" s="24">
        <f t="shared" si="1"/>
        <v>63</v>
      </c>
      <c r="O28" s="24">
        <f t="shared" si="1"/>
        <v>72</v>
      </c>
      <c r="P28" s="24">
        <f t="shared" si="1"/>
        <v>81</v>
      </c>
      <c r="Q28" s="24">
        <f t="shared" si="1"/>
        <v>90</v>
      </c>
      <c r="U28" s="220">
        <v>13</v>
      </c>
      <c r="V28" s="220">
        <v>12</v>
      </c>
      <c r="W28" s="220">
        <v>11</v>
      </c>
      <c r="X28" s="220">
        <v>10</v>
      </c>
      <c r="Y28" s="220">
        <v>9</v>
      </c>
    </row>
    <row r="29" spans="1:26">
      <c r="G29" s="218">
        <v>10</v>
      </c>
      <c r="H29" s="24">
        <f t="shared" si="1"/>
        <v>10</v>
      </c>
      <c r="I29" s="24">
        <f t="shared" si="1"/>
        <v>20</v>
      </c>
      <c r="J29" s="24">
        <f t="shared" si="1"/>
        <v>30</v>
      </c>
      <c r="K29" s="24">
        <f t="shared" si="1"/>
        <v>40</v>
      </c>
      <c r="L29" s="24">
        <f t="shared" si="1"/>
        <v>50</v>
      </c>
      <c r="M29" s="24">
        <f t="shared" si="1"/>
        <v>60</v>
      </c>
      <c r="N29" s="24">
        <f t="shared" si="1"/>
        <v>70</v>
      </c>
      <c r="O29" s="24">
        <f t="shared" si="1"/>
        <v>80</v>
      </c>
      <c r="P29" s="24">
        <f t="shared" si="1"/>
        <v>90</v>
      </c>
      <c r="Q29" s="24">
        <f t="shared" si="1"/>
        <v>100</v>
      </c>
    </row>
    <row r="30" spans="1:26" ht="16">
      <c r="A30" s="51" t="s">
        <v>59</v>
      </c>
      <c r="B30" s="53" t="s">
        <v>60</v>
      </c>
      <c r="C30" s="52">
        <v>6</v>
      </c>
    </row>
    <row r="31" spans="1:26">
      <c r="A31" s="54"/>
      <c r="B31" s="59"/>
      <c r="C31" s="250" t="s">
        <v>893</v>
      </c>
      <c r="T31" s="227" t="s">
        <v>1081</v>
      </c>
      <c r="U31" s="227"/>
      <c r="V31" s="227"/>
      <c r="W31" s="227"/>
      <c r="X31" s="227"/>
      <c r="Y31" s="227"/>
      <c r="Z31" s="227"/>
    </row>
    <row r="32" spans="1:26">
      <c r="A32" s="55" t="s">
        <v>887</v>
      </c>
      <c r="B32" s="56"/>
      <c r="C32" s="57" t="str">
        <f t="array" ref="C32">IF(SUM(COUNTIF(E10:E13,F10:F13))=4,"ДА","НЕТ")</f>
        <v>НЕТ</v>
      </c>
      <c r="F32" s="383"/>
      <c r="G32" s="383"/>
      <c r="H32" s="383"/>
      <c r="I32" s="383"/>
      <c r="J32" s="327"/>
      <c r="K32" s="327"/>
      <c r="L32" s="327"/>
      <c r="M32" s="327"/>
      <c r="N32" s="327"/>
      <c r="O32" s="327"/>
      <c r="P32" s="327"/>
    </row>
    <row r="33" spans="1:16" ht="16">
      <c r="F33" s="326"/>
      <c r="G33" s="331"/>
      <c r="H33" s="331"/>
      <c r="I33" s="384"/>
      <c r="J33" s="327"/>
      <c r="K33" s="327"/>
      <c r="L33" s="327"/>
      <c r="M33" s="327"/>
      <c r="N33" s="327"/>
      <c r="O33" s="327"/>
      <c r="P33" s="327"/>
    </row>
    <row r="34" spans="1:16" ht="16">
      <c r="F34" s="326"/>
      <c r="G34" s="327"/>
      <c r="H34" s="327"/>
      <c r="I34" s="384"/>
      <c r="J34" s="327"/>
      <c r="K34" s="327"/>
      <c r="L34" s="327"/>
      <c r="M34" s="327"/>
      <c r="N34" s="327"/>
      <c r="O34" s="327"/>
      <c r="P34" s="327"/>
    </row>
    <row r="35" spans="1:16" ht="16">
      <c r="F35" s="326"/>
      <c r="G35" s="327"/>
      <c r="H35" s="327"/>
      <c r="I35" s="384"/>
      <c r="J35" s="327"/>
      <c r="K35" s="327"/>
      <c r="L35" s="327"/>
      <c r="M35" s="327"/>
      <c r="N35" s="327"/>
      <c r="O35" s="327"/>
      <c r="P35" s="327"/>
    </row>
    <row r="36" spans="1:16" ht="21">
      <c r="F36" s="115"/>
      <c r="G36" s="27"/>
      <c r="I36" s="210"/>
    </row>
    <row r="37" spans="1:16" ht="21">
      <c r="F37" s="115"/>
      <c r="H37" s="63"/>
      <c r="I37" s="210"/>
    </row>
    <row r="38" spans="1:16" ht="16">
      <c r="F38" s="115"/>
      <c r="G38" s="127"/>
      <c r="H38" s="127"/>
      <c r="I38" s="210"/>
    </row>
    <row r="39" spans="1:16">
      <c r="A39" t="s">
        <v>1128</v>
      </c>
    </row>
  </sheetData>
  <mergeCells count="1">
    <mergeCell ref="G18:Q18"/>
  </mergeCells>
  <conditionalFormatting sqref="C32">
    <cfRule type="cellIs" dxfId="3" priority="1" operator="equal">
      <formula>"нет"</formula>
    </cfRule>
    <cfRule type="cellIs" dxfId="2" priority="2" operator="equal">
      <formula>"да"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C00000"/>
  </sheetPr>
  <dimension ref="B2:N16"/>
  <sheetViews>
    <sheetView workbookViewId="0">
      <selection activeCell="H13" sqref="H13"/>
    </sheetView>
  </sheetViews>
  <sheetFormatPr baseColWidth="10" defaultColWidth="8.83203125" defaultRowHeight="15"/>
  <cols>
    <col min="3" max="3" width="7.6640625" bestFit="1" customWidth="1"/>
    <col min="4" max="4" width="19.5" customWidth="1"/>
    <col min="7" max="7" width="8.1640625" bestFit="1" customWidth="1"/>
    <col min="8" max="8" width="13.1640625" customWidth="1"/>
    <col min="9" max="9" width="5.5" customWidth="1"/>
    <col min="12" max="12" width="10.83203125" bestFit="1" customWidth="1"/>
    <col min="13" max="13" width="12.5" bestFit="1" customWidth="1"/>
    <col min="14" max="14" width="12.1640625" bestFit="1" customWidth="1"/>
  </cols>
  <sheetData>
    <row r="2" spans="2:14" ht="48">
      <c r="B2" s="119" t="s">
        <v>974</v>
      </c>
      <c r="C2" s="119" t="s">
        <v>975</v>
      </c>
      <c r="D2" s="119" t="s">
        <v>973</v>
      </c>
      <c r="L2" s="51" t="s">
        <v>59</v>
      </c>
      <c r="M2" s="53" t="s">
        <v>60</v>
      </c>
      <c r="N2" s="52">
        <v>5</v>
      </c>
    </row>
    <row r="3" spans="2:14">
      <c r="B3" s="436">
        <v>1350</v>
      </c>
      <c r="C3" s="436">
        <v>1200</v>
      </c>
      <c r="D3" s="62">
        <f>B3+C3</f>
        <v>2550</v>
      </c>
      <c r="E3" s="50">
        <v>2550</v>
      </c>
      <c r="L3" s="54"/>
      <c r="M3" s="59"/>
      <c r="N3" s="250" t="s">
        <v>893</v>
      </c>
    </row>
    <row r="4" spans="2:14">
      <c r="B4" s="211"/>
      <c r="C4" s="211"/>
      <c r="D4" s="211"/>
      <c r="E4" s="50"/>
      <c r="G4" s="211"/>
      <c r="H4" s="211"/>
      <c r="I4" s="211"/>
      <c r="L4" s="55" t="s">
        <v>887</v>
      </c>
      <c r="M4" s="56"/>
      <c r="N4" s="57" t="str">
        <f t="array" ref="N4">IF(SUM(COUNTIF(D3:D16,E3:E16))=4,"ДА","НЕТ")</f>
        <v>ДА</v>
      </c>
    </row>
    <row r="5" spans="2:14">
      <c r="E5" s="50"/>
      <c r="K5" s="255"/>
    </row>
    <row r="6" spans="2:14" ht="32">
      <c r="B6" s="119" t="s">
        <v>843</v>
      </c>
      <c r="C6" s="119" t="s">
        <v>83</v>
      </c>
      <c r="D6" s="119" t="s">
        <v>839</v>
      </c>
      <c r="E6" s="50"/>
    </row>
    <row r="7" spans="2:14">
      <c r="B7" s="62">
        <v>3500</v>
      </c>
      <c r="C7" s="62">
        <v>1</v>
      </c>
      <c r="D7" s="62">
        <f>B7/C7</f>
        <v>3500</v>
      </c>
      <c r="E7" s="50">
        <v>3500</v>
      </c>
    </row>
    <row r="8" spans="2:14">
      <c r="B8" s="211"/>
      <c r="C8" s="254">
        <v>1</v>
      </c>
      <c r="D8" s="211"/>
      <c r="E8" s="50"/>
    </row>
    <row r="9" spans="2:14">
      <c r="E9" s="50"/>
    </row>
    <row r="10" spans="2:14" ht="48">
      <c r="B10" s="119" t="s">
        <v>844</v>
      </c>
      <c r="C10" s="119" t="s">
        <v>845</v>
      </c>
      <c r="D10" s="119" t="s">
        <v>846</v>
      </c>
      <c r="E10" s="50"/>
    </row>
    <row r="11" spans="2:14">
      <c r="B11" s="62">
        <v>10</v>
      </c>
      <c r="C11" s="62">
        <v>12</v>
      </c>
      <c r="D11" s="62">
        <f>B11+C11</f>
        <v>22</v>
      </c>
      <c r="E11" s="50">
        <v>22</v>
      </c>
    </row>
    <row r="15" spans="2:14" ht="32">
      <c r="B15" s="119" t="s">
        <v>840</v>
      </c>
      <c r="C15" s="119" t="s">
        <v>842</v>
      </c>
      <c r="D15" s="119" t="s">
        <v>841</v>
      </c>
    </row>
    <row r="16" spans="2:14">
      <c r="B16" s="62">
        <v>1557</v>
      </c>
      <c r="C16" s="163">
        <v>547.5</v>
      </c>
      <c r="D16" s="293">
        <f>B16-C16</f>
        <v>1009.5</v>
      </c>
      <c r="E16" s="271">
        <v>1009.5</v>
      </c>
    </row>
  </sheetData>
  <conditionalFormatting sqref="N4">
    <cfRule type="cellIs" dxfId="1" priority="1" operator="equal">
      <formula>"нет"</formula>
    </cfRule>
    <cfRule type="cellIs" dxfId="0" priority="2" operator="equal">
      <formula>"да"</formula>
    </cfRule>
  </conditionalFormatting>
  <pageMargins left="0.7" right="0.7" top="0.75" bottom="0.75" header="0.3" footer="0.3"/>
  <pageSetup paperSize="9"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42</vt:i4>
      </vt:variant>
    </vt:vector>
  </HeadingPairs>
  <TitlesOfParts>
    <vt:vector size="42" baseType="lpstr">
      <vt:lpstr>Обложка</vt:lpstr>
      <vt:lpstr>Содержание</vt:lpstr>
      <vt:lpstr>KPI_Слушателя</vt:lpstr>
      <vt:lpstr>KPI_Преподавателя</vt:lpstr>
      <vt:lpstr>1.1.Операторы</vt:lpstr>
      <vt:lpstr>1.2.Ссылки</vt:lpstr>
      <vt:lpstr>СтоимДня</vt:lpstr>
      <vt:lpstr>ДЗ_1</vt:lpstr>
      <vt:lpstr>2.Имена</vt:lpstr>
      <vt:lpstr>Имен_ячейки</vt:lpstr>
      <vt:lpstr>Имен_диапазоны</vt:lpstr>
      <vt:lpstr>ИменаVsСмешСсыл</vt:lpstr>
      <vt:lpstr>ДЗ_2</vt:lpstr>
      <vt:lpstr>3.1.Округ</vt:lpstr>
      <vt:lpstr>3.2.1.Счет_усл</vt:lpstr>
      <vt:lpstr>3.2.2.Сумм_усл</vt:lpstr>
      <vt:lpstr>ДЗ_3</vt:lpstr>
      <vt:lpstr>3.3.Ссылки_Массивы</vt:lpstr>
      <vt:lpstr>ВПР_Нач</vt:lpstr>
      <vt:lpstr>ВПР1</vt:lpstr>
      <vt:lpstr>ВПР2</vt:lpstr>
      <vt:lpstr>ВПР3_Пазлы2017</vt:lpstr>
      <vt:lpstr>ВПР_Пазлы2016</vt:lpstr>
      <vt:lpstr>ДЗ_4</vt:lpstr>
      <vt:lpstr>3.4.Логические</vt:lpstr>
      <vt:lpstr>ДЗ_5</vt:lpstr>
      <vt:lpstr>3.5.Текстовые</vt:lpstr>
      <vt:lpstr>СЦЕП</vt:lpstr>
      <vt:lpstr>СжПРОБ</vt:lpstr>
      <vt:lpstr>РЕГИСТР</vt:lpstr>
      <vt:lpstr>Л_П_СИМВ_ПСТР</vt:lpstr>
      <vt:lpstr>ТекстПоСтолбцам</vt:lpstr>
      <vt:lpstr>МЗ</vt:lpstr>
      <vt:lpstr>ДЗ_6</vt:lpstr>
      <vt:lpstr>3.6.Функции_даты</vt:lpstr>
      <vt:lpstr>СЕГОДНЯ</vt:lpstr>
      <vt:lpstr>РАБДЕНЬ</vt:lpstr>
      <vt:lpstr>ЧИСТРАБДНИ</vt:lpstr>
      <vt:lpstr>ДОЛЯГОДА</vt:lpstr>
      <vt:lpstr>ДЗ_7</vt:lpstr>
      <vt:lpstr>4.Ошибки</vt:lpstr>
      <vt:lpstr>ДЗ_8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2021-10-09T14:10:10Z</dcterms:modified>
</cp:coreProperties>
</file>