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Portofolio\"/>
    </mc:Choice>
  </mc:AlternateContent>
  <xr:revisionPtr revIDLastSave="0" documentId="8_{875DE656-1A47-4191-B7A8-C38ECEE515AF}" xr6:coauthVersionLast="47" xr6:coauthVersionMax="47" xr10:uidLastSave="{00000000-0000-0000-0000-000000000000}"/>
  <bookViews>
    <workbookView xWindow="-110" yWindow="-110" windowWidth="19420" windowHeight="11020" activeTab="1" xr2:uid="{8F200769-2F2F-414D-B1FD-3333312C2110}"/>
  </bookViews>
  <sheets>
    <sheet name="Before" sheetId="1" r:id="rId1"/>
    <sheet name="After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E6" i="2"/>
  <c r="F6" i="2"/>
  <c r="G6" i="2"/>
  <c r="H6" i="2"/>
  <c r="C7" i="2"/>
  <c r="C8" i="2"/>
  <c r="C9" i="2"/>
  <c r="C10" i="2"/>
  <c r="C11" i="2"/>
  <c r="C12" i="2"/>
  <c r="C13" i="2"/>
  <c r="C14" i="2"/>
  <c r="C15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C18" i="2"/>
  <c r="C19" i="2"/>
  <c r="C20" i="2"/>
  <c r="C21" i="2"/>
  <c r="B18" i="2"/>
  <c r="B19" i="2"/>
  <c r="B20" i="2"/>
  <c r="B21" i="2"/>
  <c r="I7" i="1"/>
  <c r="I8" i="1"/>
  <c r="I9" i="1"/>
  <c r="I10" i="1"/>
  <c r="I11" i="1"/>
  <c r="I12" i="1"/>
  <c r="I13" i="1"/>
  <c r="I14" i="1"/>
  <c r="I15" i="1"/>
  <c r="I6" i="1"/>
  <c r="I7" i="2"/>
  <c r="I6" i="2"/>
  <c r="H7" i="1"/>
  <c r="H8" i="1"/>
  <c r="H9" i="1"/>
  <c r="H10" i="1"/>
  <c r="H11" i="1"/>
  <c r="H12" i="1"/>
  <c r="H13" i="1"/>
  <c r="H14" i="1"/>
  <c r="H15" i="1"/>
  <c r="H6" i="1"/>
  <c r="G7" i="1"/>
  <c r="G8" i="1"/>
  <c r="G9" i="1"/>
  <c r="G10" i="1"/>
  <c r="G11" i="1"/>
  <c r="G12" i="1"/>
  <c r="G13" i="1"/>
  <c r="G14" i="1"/>
  <c r="G15" i="1"/>
  <c r="G6" i="1"/>
  <c r="F7" i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  <c r="C7" i="1"/>
  <c r="C8" i="1"/>
  <c r="C9" i="1"/>
  <c r="C10" i="1"/>
  <c r="C11" i="1"/>
  <c r="C12" i="1"/>
  <c r="C13" i="1"/>
  <c r="C14" i="1"/>
  <c r="C15" i="1"/>
  <c r="C6" i="1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J6" i="2"/>
  <c r="B20" i="1"/>
  <c r="B19" i="1"/>
  <c r="B18" i="1"/>
</calcChain>
</file>

<file path=xl/sharedStrings.xml><?xml version="1.0" encoding="utf-8"?>
<sst xmlns="http://schemas.openxmlformats.org/spreadsheetml/2006/main" count="88" uniqueCount="41">
  <si>
    <t>CV PERMATA PENJUALAN KOMPONEN KOMPUTER PER APRIL 2013</t>
  </si>
  <si>
    <t>TANGGAL</t>
  </si>
  <si>
    <t>KODE BARANG</t>
  </si>
  <si>
    <t>NAMA BARANG</t>
  </si>
  <si>
    <t>JUMLAH BARANG</t>
  </si>
  <si>
    <t>HARGA SATUAN</t>
  </si>
  <si>
    <t>HARGA TOTAL</t>
  </si>
  <si>
    <t>POTONGAN PENJUALAN</t>
  </si>
  <si>
    <t>PEMBAYARAN TOTAL</t>
  </si>
  <si>
    <t>BONUS KHUSUS</t>
  </si>
  <si>
    <t>VOUCHER</t>
  </si>
  <si>
    <t>JENIS</t>
  </si>
  <si>
    <t>TOTAL PENDAPATAN</t>
  </si>
  <si>
    <t>Penj. Hardisk</t>
  </si>
  <si>
    <t>Penj. Monitor</t>
  </si>
  <si>
    <t>Penj. Keyboard</t>
  </si>
  <si>
    <t>KODE</t>
  </si>
  <si>
    <t>BARANG</t>
  </si>
  <si>
    <t>HARGA</t>
  </si>
  <si>
    <t>KEYBOARD</t>
  </si>
  <si>
    <t>DISCOUNT</t>
  </si>
  <si>
    <t>HARDISK</t>
  </si>
  <si>
    <t>MONITOR</t>
  </si>
  <si>
    <t>NAMA BRG</t>
  </si>
  <si>
    <t>BONUS</t>
  </si>
  <si>
    <t>Cover Comp</t>
  </si>
  <si>
    <t>VCD</t>
  </si>
  <si>
    <t>Speaker Active</t>
  </si>
  <si>
    <t>Jika transaksi pembelian dilakukan sebelum tanggal 10 April 2013, maka mendapatkan bonus sesuai tabel</t>
  </si>
  <si>
    <t>Jika transaksi pembelian dilakukan setelah tanggal 10 April 2013, maka mendapatkan "CD BLANK"</t>
  </si>
  <si>
    <t>* Jika pembelian kurang dari atau sama dengan Rp.500.000, maka dapat voucher 1 lembar.</t>
  </si>
  <si>
    <t>* Jika pembelian antara Rp.500.000 keatas sampai dengan Rp. 1.000.000, maka dapat 2 lembar.</t>
  </si>
  <si>
    <t>* Jika pembelian antara Rp.1.000.000 keatas sampai dengan Rp. 1.500.000, maka dapat 3 lembar.</t>
  </si>
  <si>
    <t>* Jika pembelian diatas Rp. 1.500.000, maka dapat 4 lembar.</t>
  </si>
  <si>
    <t>TOTAL</t>
  </si>
  <si>
    <t>TOTAL BARANG</t>
  </si>
  <si>
    <t>Sum</t>
  </si>
  <si>
    <t>Average</t>
  </si>
  <si>
    <t>Running Total</t>
  </si>
  <si>
    <t>Count</t>
  </si>
  <si>
    <t>TOTAL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</si>
</sst>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_(&quot;Rp&quot;* #,##0_);_(&quot;Rp&quot;* \(#,##0\);_(&quot;Rp&quot;* &quot;-&quot;_);_(@_)"/>
    <numFmt numFmtId="165" formatCode="_-&quot;Rp&quot;* #,##0_-;\-&quot;Rp&quot;* #,##0_-;_-&quot;Rp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5" fontId="0" fillId="3" borderId="3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9" fontId="0" fillId="0" borderId="3" xfId="2" applyFont="1" applyBorder="1"/>
    <xf numFmtId="0" fontId="2" fillId="4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4" borderId="3" xfId="0" applyFont="1" applyFill="1" applyBorder="1"/>
    <xf numFmtId="0" fontId="0" fillId="5" borderId="3" xfId="0" applyFill="1" applyBorder="1" applyAlignment="1">
      <alignment horizontal="center" vertical="center"/>
    </xf>
    <xf numFmtId="9" fontId="0" fillId="5" borderId="3" xfId="2" applyFont="1" applyFill="1" applyBorder="1" applyAlignment="1">
      <alignment horizontal="center" vertical="center"/>
    </xf>
    <xf numFmtId="165" fontId="0" fillId="5" borderId="3" xfId="1" applyNumberFormat="1" applyFont="1" applyFill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0" fontId="2" fillId="0" borderId="0" xfId="0" applyNumberFormat="1" applyFont="1"/>
    <xf numFmtId="165" fontId="2" fillId="0" borderId="3" xfId="1" applyNumberFormat="1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AFDB-632D-4CFF-B8F9-3E57E0B9DF54}">
  <dimension ref="A1:J39"/>
  <sheetViews>
    <sheetView workbookViewId="0">
      <selection activeCell="A36" sqref="A36:A39"/>
    </sheetView>
  </sheetViews>
  <sheetFormatPr defaultRowHeight="14.5" x14ac:dyDescent="0.35"/>
  <cols>
    <col min="1" max="1" width="22.7265625" customWidth="1"/>
    <col min="2" max="10" width="13.6328125" customWidth="1"/>
  </cols>
  <sheetData>
    <row r="1" spans="1:10" ht="1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2"/>
      <c r="B2" s="2"/>
    </row>
    <row r="3" spans="1:10" x14ac:dyDescent="0.35">
      <c r="A3" s="3"/>
      <c r="I3" s="4">
        <v>41374</v>
      </c>
    </row>
    <row r="4" spans="1:10" ht="18.5" customHeight="1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x14ac:dyDescent="0.3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7">
        <v>41366</v>
      </c>
      <c r="B6" s="8">
        <v>102</v>
      </c>
      <c r="C6" s="8" t="str">
        <f>VLOOKUP(B6,$A$25:$C$27,2,0)</f>
        <v>HARDISK</v>
      </c>
      <c r="D6" s="8">
        <v>11</v>
      </c>
      <c r="E6" s="9">
        <f>VLOOKUP(B6,$A$25:$C$27,3,0)</f>
        <v>550000</v>
      </c>
      <c r="F6" s="9">
        <f>E6*D6</f>
        <v>6050000</v>
      </c>
      <c r="G6" s="10">
        <f>HLOOKUP(B6,$F$24:$H$25,2,TRUE)*F6</f>
        <v>453750</v>
      </c>
      <c r="H6" s="9">
        <f>F6-G6</f>
        <v>5596250</v>
      </c>
      <c r="I6" s="8" t="str">
        <f>IF(A6&lt;$I$3,HLOOKUP(C6,$B$30:$D$31,2,0),"CD BLANK")</f>
        <v>VCD</v>
      </c>
      <c r="J6" s="8"/>
    </row>
    <row r="7" spans="1:10" x14ac:dyDescent="0.35">
      <c r="A7" s="7">
        <v>41368</v>
      </c>
      <c r="B7" s="8">
        <v>101</v>
      </c>
      <c r="C7" s="8" t="str">
        <f t="shared" ref="C7:C15" si="0">VLOOKUP(B7,$A$25:$C$27,2,0)</f>
        <v>KEYBOARD</v>
      </c>
      <c r="D7" s="8">
        <v>14</v>
      </c>
      <c r="E7" s="9">
        <f t="shared" ref="E7:E15" si="1">VLOOKUP(B7,$A$25:$C$27,3,0)</f>
        <v>50000</v>
      </c>
      <c r="F7" s="9">
        <f t="shared" ref="F7:F15" si="2">E7*D7</f>
        <v>700000</v>
      </c>
      <c r="G7" s="10">
        <f t="shared" ref="G7:G15" si="3">HLOOKUP(B7,$F$24:$H$25,2,TRUE)*F7</f>
        <v>70000</v>
      </c>
      <c r="H7" s="9">
        <f t="shared" ref="H7:H15" si="4">F7-G7</f>
        <v>630000</v>
      </c>
      <c r="I7" s="8" t="str">
        <f t="shared" ref="I7:I15" si="5">IF(A7&lt;$I$3,HLOOKUP(C7,$B$30:$D$31,2,0),"CD BLANK")</f>
        <v>Cover Comp</v>
      </c>
      <c r="J7" s="8"/>
    </row>
    <row r="8" spans="1:10" x14ac:dyDescent="0.35">
      <c r="A8" s="7">
        <v>41369</v>
      </c>
      <c r="B8" s="8">
        <v>101</v>
      </c>
      <c r="C8" s="8" t="str">
        <f t="shared" si="0"/>
        <v>KEYBOARD</v>
      </c>
      <c r="D8" s="8">
        <v>7</v>
      </c>
      <c r="E8" s="9">
        <f t="shared" si="1"/>
        <v>50000</v>
      </c>
      <c r="F8" s="9">
        <f t="shared" si="2"/>
        <v>350000</v>
      </c>
      <c r="G8" s="10">
        <f t="shared" si="3"/>
        <v>35000</v>
      </c>
      <c r="H8" s="9">
        <f t="shared" si="4"/>
        <v>315000</v>
      </c>
      <c r="I8" s="8" t="str">
        <f t="shared" si="5"/>
        <v>Cover Comp</v>
      </c>
      <c r="J8" s="8"/>
    </row>
    <row r="9" spans="1:10" x14ac:dyDescent="0.35">
      <c r="A9" s="7">
        <v>41371</v>
      </c>
      <c r="B9" s="8">
        <v>103</v>
      </c>
      <c r="C9" s="8" t="str">
        <f t="shared" si="0"/>
        <v>MONITOR</v>
      </c>
      <c r="D9" s="8">
        <v>2</v>
      </c>
      <c r="E9" s="9">
        <f t="shared" si="1"/>
        <v>2000000</v>
      </c>
      <c r="F9" s="9">
        <f t="shared" si="2"/>
        <v>4000000</v>
      </c>
      <c r="G9" s="10">
        <f t="shared" si="3"/>
        <v>200000</v>
      </c>
      <c r="H9" s="9">
        <f t="shared" si="4"/>
        <v>3800000</v>
      </c>
      <c r="I9" s="8" t="str">
        <f t="shared" si="5"/>
        <v>Speaker Active</v>
      </c>
      <c r="J9" s="8"/>
    </row>
    <row r="10" spans="1:10" x14ac:dyDescent="0.35">
      <c r="A10" s="7">
        <v>41372</v>
      </c>
      <c r="B10" s="8">
        <v>102</v>
      </c>
      <c r="C10" s="8" t="str">
        <f t="shared" si="0"/>
        <v>HARDISK</v>
      </c>
      <c r="D10" s="8">
        <v>6</v>
      </c>
      <c r="E10" s="9">
        <f t="shared" si="1"/>
        <v>550000</v>
      </c>
      <c r="F10" s="9">
        <f t="shared" si="2"/>
        <v>3300000</v>
      </c>
      <c r="G10" s="10">
        <f t="shared" si="3"/>
        <v>247500</v>
      </c>
      <c r="H10" s="9">
        <f t="shared" si="4"/>
        <v>3052500</v>
      </c>
      <c r="I10" s="8" t="str">
        <f t="shared" si="5"/>
        <v>VCD</v>
      </c>
      <c r="J10" s="8"/>
    </row>
    <row r="11" spans="1:10" x14ac:dyDescent="0.35">
      <c r="A11" s="7">
        <v>41375</v>
      </c>
      <c r="B11" s="8">
        <v>101</v>
      </c>
      <c r="C11" s="8" t="str">
        <f t="shared" si="0"/>
        <v>KEYBOARD</v>
      </c>
      <c r="D11" s="8">
        <v>4</v>
      </c>
      <c r="E11" s="9">
        <f t="shared" si="1"/>
        <v>50000</v>
      </c>
      <c r="F11" s="9">
        <f t="shared" si="2"/>
        <v>200000</v>
      </c>
      <c r="G11" s="10">
        <f t="shared" si="3"/>
        <v>20000</v>
      </c>
      <c r="H11" s="9">
        <f t="shared" si="4"/>
        <v>180000</v>
      </c>
      <c r="I11" s="8" t="str">
        <f t="shared" si="5"/>
        <v>CD BLANK</v>
      </c>
      <c r="J11" s="8"/>
    </row>
    <row r="12" spans="1:10" x14ac:dyDescent="0.35">
      <c r="A12" s="7">
        <v>41378</v>
      </c>
      <c r="B12" s="8">
        <v>103</v>
      </c>
      <c r="C12" s="8" t="str">
        <f t="shared" si="0"/>
        <v>MONITOR</v>
      </c>
      <c r="D12" s="8">
        <v>19</v>
      </c>
      <c r="E12" s="9">
        <f t="shared" si="1"/>
        <v>2000000</v>
      </c>
      <c r="F12" s="9">
        <f t="shared" si="2"/>
        <v>38000000</v>
      </c>
      <c r="G12" s="10">
        <f t="shared" si="3"/>
        <v>1900000</v>
      </c>
      <c r="H12" s="9">
        <f t="shared" si="4"/>
        <v>36100000</v>
      </c>
      <c r="I12" s="8" t="str">
        <f t="shared" si="5"/>
        <v>CD BLANK</v>
      </c>
      <c r="J12" s="8"/>
    </row>
    <row r="13" spans="1:10" x14ac:dyDescent="0.35">
      <c r="A13" s="7">
        <v>41380</v>
      </c>
      <c r="B13" s="8">
        <v>102</v>
      </c>
      <c r="C13" s="8" t="str">
        <f t="shared" si="0"/>
        <v>HARDISK</v>
      </c>
      <c r="D13" s="8">
        <v>10</v>
      </c>
      <c r="E13" s="9">
        <f t="shared" si="1"/>
        <v>550000</v>
      </c>
      <c r="F13" s="9">
        <f t="shared" si="2"/>
        <v>5500000</v>
      </c>
      <c r="G13" s="10">
        <f t="shared" si="3"/>
        <v>412500</v>
      </c>
      <c r="H13" s="9">
        <f t="shared" si="4"/>
        <v>5087500</v>
      </c>
      <c r="I13" s="8" t="str">
        <f t="shared" si="5"/>
        <v>CD BLANK</v>
      </c>
      <c r="J13" s="8"/>
    </row>
    <row r="14" spans="1:10" x14ac:dyDescent="0.35">
      <c r="A14" s="7">
        <v>41384</v>
      </c>
      <c r="B14" s="8">
        <v>103</v>
      </c>
      <c r="C14" s="8" t="str">
        <f t="shared" si="0"/>
        <v>MONITOR</v>
      </c>
      <c r="D14" s="8">
        <v>20</v>
      </c>
      <c r="E14" s="9">
        <f t="shared" si="1"/>
        <v>2000000</v>
      </c>
      <c r="F14" s="9">
        <f t="shared" si="2"/>
        <v>40000000</v>
      </c>
      <c r="G14" s="10">
        <f t="shared" si="3"/>
        <v>2000000</v>
      </c>
      <c r="H14" s="9">
        <f t="shared" si="4"/>
        <v>38000000</v>
      </c>
      <c r="I14" s="8" t="str">
        <f t="shared" si="5"/>
        <v>CD BLANK</v>
      </c>
      <c r="J14" s="8"/>
    </row>
    <row r="15" spans="1:10" x14ac:dyDescent="0.35">
      <c r="A15" s="7">
        <v>41389</v>
      </c>
      <c r="B15" s="8">
        <v>102</v>
      </c>
      <c r="C15" s="8" t="str">
        <f t="shared" si="0"/>
        <v>HARDISK</v>
      </c>
      <c r="D15" s="8">
        <v>8</v>
      </c>
      <c r="E15" s="9">
        <f t="shared" si="1"/>
        <v>550000</v>
      </c>
      <c r="F15" s="9">
        <f t="shared" si="2"/>
        <v>4400000</v>
      </c>
      <c r="G15" s="10">
        <f t="shared" si="3"/>
        <v>330000</v>
      </c>
      <c r="H15" s="9">
        <f t="shared" si="4"/>
        <v>4070000</v>
      </c>
      <c r="I15" s="8" t="str">
        <f t="shared" si="5"/>
        <v>CD BLANK</v>
      </c>
      <c r="J15" s="8"/>
    </row>
    <row r="16" spans="1:10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29" x14ac:dyDescent="0.35">
      <c r="A17" s="12" t="s">
        <v>11</v>
      </c>
      <c r="B17" s="13" t="s">
        <v>12</v>
      </c>
      <c r="D17" s="14"/>
      <c r="E17" s="14"/>
      <c r="F17" s="14"/>
      <c r="G17" s="14"/>
      <c r="H17" s="14"/>
      <c r="I17" s="14"/>
      <c r="J17" s="14"/>
    </row>
    <row r="18" spans="1:10" x14ac:dyDescent="0.35">
      <c r="A18" s="15" t="s">
        <v>13</v>
      </c>
      <c r="B18" s="16">
        <f>SUMIF($C$6:$C$15,"HARDISK",$H$6:$H$15)</f>
        <v>17806250</v>
      </c>
      <c r="C18" s="14"/>
      <c r="D18" s="14"/>
      <c r="E18" s="17"/>
      <c r="F18" s="17"/>
      <c r="G18" s="17"/>
      <c r="H18" s="17"/>
      <c r="I18" s="14"/>
      <c r="J18" s="14"/>
    </row>
    <row r="19" spans="1:10" x14ac:dyDescent="0.35">
      <c r="A19" s="15" t="s">
        <v>14</v>
      </c>
      <c r="B19" s="16">
        <f>SUMIF($C$6:$C$15,"MONITOR",$H$6:$H$15)</f>
        <v>77900000</v>
      </c>
      <c r="C19" s="14"/>
      <c r="D19" s="14"/>
      <c r="E19" s="17"/>
      <c r="F19" s="17"/>
      <c r="G19" s="17"/>
      <c r="H19" s="17"/>
      <c r="I19" s="14"/>
      <c r="J19" s="14"/>
    </row>
    <row r="20" spans="1:10" x14ac:dyDescent="0.35">
      <c r="A20" s="15" t="s">
        <v>15</v>
      </c>
      <c r="B20" s="16">
        <f>SUMIF($C$6:$C$15,"KEYBOARD",$H$6:$H$15)</f>
        <v>1125000</v>
      </c>
      <c r="C20" s="14"/>
      <c r="D20" s="14"/>
      <c r="E20" s="17"/>
      <c r="F20" s="17"/>
      <c r="G20" s="17"/>
      <c r="H20" s="17"/>
      <c r="I20" s="14"/>
      <c r="J20" s="14"/>
    </row>
    <row r="21" spans="1:10" x14ac:dyDescent="0.35">
      <c r="A21" s="18"/>
      <c r="B21" s="14"/>
      <c r="C21" s="14"/>
      <c r="D21" s="14"/>
      <c r="E21" s="14"/>
      <c r="F21" s="14"/>
      <c r="G21" s="14"/>
      <c r="H21" s="14"/>
      <c r="I21" s="14"/>
      <c r="J21" s="14"/>
    </row>
    <row r="24" spans="1:10" x14ac:dyDescent="0.35">
      <c r="A24" s="19" t="s">
        <v>16</v>
      </c>
      <c r="B24" s="19" t="s">
        <v>17</v>
      </c>
      <c r="C24" s="19" t="s">
        <v>18</v>
      </c>
      <c r="E24" s="20" t="s">
        <v>16</v>
      </c>
      <c r="F24" s="21">
        <v>101</v>
      </c>
      <c r="G24" s="21">
        <v>102</v>
      </c>
      <c r="H24" s="21">
        <v>103</v>
      </c>
    </row>
    <row r="25" spans="1:10" x14ac:dyDescent="0.35">
      <c r="A25" s="22">
        <v>101</v>
      </c>
      <c r="B25" s="22" t="s">
        <v>19</v>
      </c>
      <c r="C25" s="22">
        <v>50000</v>
      </c>
      <c r="E25" s="20" t="s">
        <v>20</v>
      </c>
      <c r="F25" s="23">
        <v>0.1</v>
      </c>
      <c r="G25" s="23">
        <v>7.4999999999999997E-2</v>
      </c>
      <c r="H25" s="23">
        <v>0.05</v>
      </c>
    </row>
    <row r="26" spans="1:10" x14ac:dyDescent="0.35">
      <c r="A26" s="22">
        <v>102</v>
      </c>
      <c r="B26" s="22" t="s">
        <v>21</v>
      </c>
      <c r="C26" s="22">
        <v>550000</v>
      </c>
    </row>
    <row r="27" spans="1:10" x14ac:dyDescent="0.35">
      <c r="A27" s="22">
        <v>103</v>
      </c>
      <c r="B27" s="22" t="s">
        <v>22</v>
      </c>
      <c r="C27" s="22">
        <v>2000000</v>
      </c>
    </row>
    <row r="30" spans="1:10" x14ac:dyDescent="0.35">
      <c r="A30" s="19" t="s">
        <v>23</v>
      </c>
      <c r="B30" s="22" t="s">
        <v>19</v>
      </c>
      <c r="C30" s="22" t="s">
        <v>21</v>
      </c>
      <c r="D30" s="22" t="s">
        <v>22</v>
      </c>
    </row>
    <row r="31" spans="1:10" x14ac:dyDescent="0.35">
      <c r="A31" s="19" t="s">
        <v>24</v>
      </c>
      <c r="B31" s="22" t="s">
        <v>25</v>
      </c>
      <c r="C31" s="22" t="s">
        <v>26</v>
      </c>
      <c r="D31" s="22" t="s">
        <v>27</v>
      </c>
    </row>
    <row r="32" spans="1:10" x14ac:dyDescent="0.35">
      <c r="A32" t="s">
        <v>28</v>
      </c>
    </row>
    <row r="33" spans="1:1" x14ac:dyDescent="0.35">
      <c r="A33" t="s">
        <v>29</v>
      </c>
    </row>
    <row r="35" spans="1:1" x14ac:dyDescent="0.35">
      <c r="A35" t="s">
        <v>10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</sheetData>
  <mergeCells count="12">
    <mergeCell ref="J4:J5"/>
    <mergeCell ref="A16:J16"/>
    <mergeCell ref="A1:J1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C106-521B-45B7-94BF-4C4EBFB70E96}">
  <dimension ref="A1:J39"/>
  <sheetViews>
    <sheetView tabSelected="1" zoomScale="71" workbookViewId="0">
      <selection activeCell="B18" sqref="B18"/>
    </sheetView>
  </sheetViews>
  <sheetFormatPr defaultRowHeight="14.5" x14ac:dyDescent="0.35"/>
  <cols>
    <col min="1" max="1" width="22.7265625" customWidth="1"/>
    <col min="2" max="10" width="13.6328125" customWidth="1"/>
  </cols>
  <sheetData>
    <row r="1" spans="1:10" ht="1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2"/>
      <c r="B2" s="2"/>
    </row>
    <row r="3" spans="1:10" x14ac:dyDescent="0.35">
      <c r="A3" s="3"/>
      <c r="I3" s="4">
        <v>41374</v>
      </c>
    </row>
    <row r="4" spans="1:10" ht="18.5" customHeight="1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x14ac:dyDescent="0.3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5">
      <c r="A6" s="7">
        <v>41366</v>
      </c>
      <c r="B6" s="8">
        <v>102</v>
      </c>
      <c r="C6" s="8" t="str">
        <f>VLOOKUP(B6,$A$25:$C$27,2,TRUE)</f>
        <v>HARDISK</v>
      </c>
      <c r="D6" s="8">
        <v>11</v>
      </c>
      <c r="E6" s="9">
        <f>VLOOKUP(B6,$A$25:$C$27,3,TRUE)</f>
        <v>550000</v>
      </c>
      <c r="F6" s="9">
        <f>E6*D6</f>
        <v>6050000</v>
      </c>
      <c r="G6" s="10">
        <f>HLOOKUP(B6,$F$24:$H$25,2,0)*F6</f>
        <v>453750</v>
      </c>
      <c r="H6" s="9">
        <f>F6-G6</f>
        <v>5596250</v>
      </c>
      <c r="I6" s="8" t="str">
        <f>IF(A6&lt;$I$3,HLOOKUP(C6,$B$30:$D$31,2,0),"CD BLANK")</f>
        <v>VCD</v>
      </c>
      <c r="J6" s="8" t="str">
        <f>_xlfn.IFS(H6&lt;=500000,"1 Lembar",H6&lt;=1000000,"2 Lembar",H6&lt;=1500000,"3 Lembar",H6&gt;1500000,"4 Lembar")</f>
        <v>4 Lembar</v>
      </c>
    </row>
    <row r="7" spans="1:10" x14ac:dyDescent="0.35">
      <c r="A7" s="7">
        <v>41368</v>
      </c>
      <c r="B7" s="8">
        <v>101</v>
      </c>
      <c r="C7" s="8" t="str">
        <f>VLOOKUP(B7,$A$25:$C$27,2,TRUE)</f>
        <v>KEYBOARD</v>
      </c>
      <c r="D7" s="8">
        <v>14</v>
      </c>
      <c r="E7" s="9">
        <f>VLOOKUP(B7,$A$25:$C$27,3,TRUE)</f>
        <v>50000</v>
      </c>
      <c r="F7" s="9">
        <f t="shared" ref="F7:F15" si="0">E7*D7</f>
        <v>700000</v>
      </c>
      <c r="G7" s="10">
        <f>HLOOKUP(B7,$F$24:$H$25,2,0)*F7</f>
        <v>70000</v>
      </c>
      <c r="H7" s="9">
        <f t="shared" ref="H7:H15" si="1">F7-G7</f>
        <v>630000</v>
      </c>
      <c r="I7" s="8" t="str">
        <f>IF(A7&lt;$I$3,HLOOKUP(C7,$B$30:$D$31,2,0),"CD BLANK")</f>
        <v>Cover Comp</v>
      </c>
      <c r="J7" s="8" t="str">
        <f t="shared" ref="J7:J15" si="2">_xlfn.IFS(H7&lt;=500000,"1 Lembar",H7&lt;=1000000,"2 Lembar",H7&lt;=1500000,"3 Lembar",H7&gt;1500000,"4 Lembar")</f>
        <v>2 Lembar</v>
      </c>
    </row>
    <row r="8" spans="1:10" x14ac:dyDescent="0.35">
      <c r="A8" s="7">
        <v>41369</v>
      </c>
      <c r="B8" s="8">
        <v>101</v>
      </c>
      <c r="C8" s="8" t="str">
        <f>VLOOKUP(B8,$A$25:$C$27,2,TRUE)</f>
        <v>KEYBOARD</v>
      </c>
      <c r="D8" s="8">
        <v>7</v>
      </c>
      <c r="E8" s="9">
        <f>VLOOKUP(B8,$A$25:$C$27,3,TRUE)</f>
        <v>50000</v>
      </c>
      <c r="F8" s="9">
        <f t="shared" si="0"/>
        <v>350000</v>
      </c>
      <c r="G8" s="10">
        <f>HLOOKUP(B8,$F$24:$H$25,2,0)*F8</f>
        <v>35000</v>
      </c>
      <c r="H8" s="9">
        <f t="shared" si="1"/>
        <v>315000</v>
      </c>
      <c r="I8" s="8" t="str">
        <f>IF(A8&lt;$I$3,HLOOKUP(C8,$B$30:$D$31,2,0),"CD BLANK")</f>
        <v>Cover Comp</v>
      </c>
      <c r="J8" s="8" t="str">
        <f t="shared" si="2"/>
        <v>1 Lembar</v>
      </c>
    </row>
    <row r="9" spans="1:10" x14ac:dyDescent="0.35">
      <c r="A9" s="7">
        <v>41371</v>
      </c>
      <c r="B9" s="8">
        <v>103</v>
      </c>
      <c r="C9" s="8" t="str">
        <f>VLOOKUP(B9,$A$25:$C$27,2,TRUE)</f>
        <v>MONITOR</v>
      </c>
      <c r="D9" s="8">
        <v>2</v>
      </c>
      <c r="E9" s="9">
        <f>VLOOKUP(B9,$A$25:$C$27,3,TRUE)</f>
        <v>2000000</v>
      </c>
      <c r="F9" s="9">
        <f t="shared" si="0"/>
        <v>4000000</v>
      </c>
      <c r="G9" s="10">
        <f>HLOOKUP(B9,$F$24:$H$25,2,0)*F9</f>
        <v>200000</v>
      </c>
      <c r="H9" s="9">
        <f t="shared" si="1"/>
        <v>3800000</v>
      </c>
      <c r="I9" s="8" t="str">
        <f>IF(A9&lt;$I$3,HLOOKUP(C9,$B$30:$D$31,2,0),"CD BLANK")</f>
        <v>Speaker Active</v>
      </c>
      <c r="J9" s="8" t="str">
        <f t="shared" si="2"/>
        <v>4 Lembar</v>
      </c>
    </row>
    <row r="10" spans="1:10" x14ac:dyDescent="0.35">
      <c r="A10" s="7">
        <v>41372</v>
      </c>
      <c r="B10" s="8">
        <v>102</v>
      </c>
      <c r="C10" s="8" t="str">
        <f>VLOOKUP(B10,$A$25:$C$27,2,TRUE)</f>
        <v>HARDISK</v>
      </c>
      <c r="D10" s="8">
        <v>6</v>
      </c>
      <c r="E10" s="9">
        <f>VLOOKUP(B10,$A$25:$C$27,3,TRUE)</f>
        <v>550000</v>
      </c>
      <c r="F10" s="9">
        <f t="shared" si="0"/>
        <v>3300000</v>
      </c>
      <c r="G10" s="10">
        <f>HLOOKUP(B10,$F$24:$H$25,2,0)*F10</f>
        <v>247500</v>
      </c>
      <c r="H10" s="9">
        <f t="shared" si="1"/>
        <v>3052500</v>
      </c>
      <c r="I10" s="8" t="str">
        <f>IF(A10&lt;$I$3,HLOOKUP(C10,$B$30:$D$31,2,0),"CD BLANK")</f>
        <v>VCD</v>
      </c>
      <c r="J10" s="8" t="str">
        <f t="shared" si="2"/>
        <v>4 Lembar</v>
      </c>
    </row>
    <row r="11" spans="1:10" x14ac:dyDescent="0.35">
      <c r="A11" s="7">
        <v>41375</v>
      </c>
      <c r="B11" s="8">
        <v>101</v>
      </c>
      <c r="C11" s="8" t="str">
        <f>VLOOKUP(B11,$A$25:$C$27,2,TRUE)</f>
        <v>KEYBOARD</v>
      </c>
      <c r="D11" s="8">
        <v>4</v>
      </c>
      <c r="E11" s="9">
        <f>VLOOKUP(B11,$A$25:$C$27,3,TRUE)</f>
        <v>50000</v>
      </c>
      <c r="F11" s="9">
        <f t="shared" si="0"/>
        <v>200000</v>
      </c>
      <c r="G11" s="10">
        <f>HLOOKUP(B11,$F$24:$H$25,2,0)*F11</f>
        <v>20000</v>
      </c>
      <c r="H11" s="9">
        <f t="shared" si="1"/>
        <v>180000</v>
      </c>
      <c r="I11" s="8" t="str">
        <f>IF(A11&lt;$I$3,HLOOKUP(C11,$B$30:$D$31,2,0),"CD BLANK")</f>
        <v>CD BLANK</v>
      </c>
      <c r="J11" s="8" t="str">
        <f t="shared" si="2"/>
        <v>1 Lembar</v>
      </c>
    </row>
    <row r="12" spans="1:10" x14ac:dyDescent="0.35">
      <c r="A12" s="7">
        <v>41378</v>
      </c>
      <c r="B12" s="8">
        <v>103</v>
      </c>
      <c r="C12" s="8" t="str">
        <f>VLOOKUP(B12,$A$25:$C$27,2,TRUE)</f>
        <v>MONITOR</v>
      </c>
      <c r="D12" s="8">
        <v>19</v>
      </c>
      <c r="E12" s="9">
        <f>VLOOKUP(B12,$A$25:$C$27,3,TRUE)</f>
        <v>2000000</v>
      </c>
      <c r="F12" s="9">
        <f t="shared" si="0"/>
        <v>38000000</v>
      </c>
      <c r="G12" s="10">
        <f>HLOOKUP(B12,$F$24:$H$25,2,0)*F12</f>
        <v>1900000</v>
      </c>
      <c r="H12" s="9">
        <f t="shared" si="1"/>
        <v>36100000</v>
      </c>
      <c r="I12" s="8" t="str">
        <f>IF(A12&lt;$I$3,HLOOKUP(C12,$B$30:$D$31,2,0),"CD BLANK")</f>
        <v>CD BLANK</v>
      </c>
      <c r="J12" s="8" t="str">
        <f t="shared" si="2"/>
        <v>4 Lembar</v>
      </c>
    </row>
    <row r="13" spans="1:10" x14ac:dyDescent="0.35">
      <c r="A13" s="7">
        <v>41380</v>
      </c>
      <c r="B13" s="8">
        <v>102</v>
      </c>
      <c r="C13" s="8" t="str">
        <f>VLOOKUP(B13,$A$25:$C$27,2,TRUE)</f>
        <v>HARDISK</v>
      </c>
      <c r="D13" s="8">
        <v>10</v>
      </c>
      <c r="E13" s="9">
        <f>VLOOKUP(B13,$A$25:$C$27,3,TRUE)</f>
        <v>550000</v>
      </c>
      <c r="F13" s="9">
        <f t="shared" si="0"/>
        <v>5500000</v>
      </c>
      <c r="G13" s="10">
        <f>HLOOKUP(B13,$F$24:$H$25,2,0)*F13</f>
        <v>412500</v>
      </c>
      <c r="H13" s="9">
        <f t="shared" si="1"/>
        <v>5087500</v>
      </c>
      <c r="I13" s="8" t="str">
        <f>IF(A13&lt;$I$3,HLOOKUP(C13,$B$30:$D$31,2,0),"CD BLANK")</f>
        <v>CD BLANK</v>
      </c>
      <c r="J13" s="8" t="str">
        <f t="shared" si="2"/>
        <v>4 Lembar</v>
      </c>
    </row>
    <row r="14" spans="1:10" x14ac:dyDescent="0.35">
      <c r="A14" s="7">
        <v>41384</v>
      </c>
      <c r="B14" s="8">
        <v>103</v>
      </c>
      <c r="C14" s="8" t="str">
        <f>VLOOKUP(B14,$A$25:$C$27,2,TRUE)</f>
        <v>MONITOR</v>
      </c>
      <c r="D14" s="8">
        <v>20</v>
      </c>
      <c r="E14" s="9">
        <f>VLOOKUP(B14,$A$25:$C$27,3,TRUE)</f>
        <v>2000000</v>
      </c>
      <c r="F14" s="9">
        <f t="shared" si="0"/>
        <v>40000000</v>
      </c>
      <c r="G14" s="10">
        <f>HLOOKUP(B14,$F$24:$H$25,2,0)*F14</f>
        <v>2000000</v>
      </c>
      <c r="H14" s="9">
        <f t="shared" si="1"/>
        <v>38000000</v>
      </c>
      <c r="I14" s="8" t="str">
        <f>IF(A14&lt;$I$3,HLOOKUP(C14,$B$30:$D$31,2,0),"CD BLANK")</f>
        <v>CD BLANK</v>
      </c>
      <c r="J14" s="8" t="str">
        <f t="shared" si="2"/>
        <v>4 Lembar</v>
      </c>
    </row>
    <row r="15" spans="1:10" x14ac:dyDescent="0.35">
      <c r="A15" s="7">
        <v>41389</v>
      </c>
      <c r="B15" s="8">
        <v>102</v>
      </c>
      <c r="C15" s="8" t="str">
        <f>VLOOKUP(B15,$A$25:$C$27,2,TRUE)</f>
        <v>HARDISK</v>
      </c>
      <c r="D15" s="8">
        <v>8</v>
      </c>
      <c r="E15" s="9">
        <f>VLOOKUP(B15,$A$25:$C$27,3,TRUE)</f>
        <v>550000</v>
      </c>
      <c r="F15" s="9">
        <f t="shared" si="0"/>
        <v>4400000</v>
      </c>
      <c r="G15" s="10">
        <f>HLOOKUP(B15,$F$24:$H$25,2,0)*F15</f>
        <v>330000</v>
      </c>
      <c r="H15" s="9">
        <f t="shared" si="1"/>
        <v>4070000</v>
      </c>
      <c r="I15" s="8" t="str">
        <f>IF(A15&lt;$I$3,HLOOKUP(C15,$B$30:$D$31,2,0),"CD BLANK")</f>
        <v>CD BLANK</v>
      </c>
      <c r="J15" s="8" t="str">
        <f t="shared" si="2"/>
        <v>4 Lembar</v>
      </c>
    </row>
    <row r="16" spans="1:10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29" x14ac:dyDescent="0.35">
      <c r="A17" s="12" t="s">
        <v>11</v>
      </c>
      <c r="B17" s="12" t="s">
        <v>35</v>
      </c>
      <c r="C17" s="13" t="s">
        <v>40</v>
      </c>
      <c r="D17" s="14"/>
      <c r="E17" s="14"/>
      <c r="F17" s="14"/>
      <c r="G17" s="14"/>
      <c r="H17" s="14"/>
      <c r="I17" s="14"/>
      <c r="J17" s="14"/>
    </row>
    <row r="18" spans="1:10" x14ac:dyDescent="0.35">
      <c r="A18" s="15" t="s">
        <v>13</v>
      </c>
      <c r="B18" s="15">
        <f ca="1">SUMIF($C$6:$D$15,"HARDISK",$D$6:$D$15)</f>
        <v>35</v>
      </c>
      <c r="C18" s="34">
        <f>SUMIF($C$6:$C$15,"HARDISK",$H$6:$H$15)</f>
        <v>17806250</v>
      </c>
      <c r="D18" s="14"/>
      <c r="E18" s="17"/>
      <c r="F18" s="17"/>
      <c r="G18" s="17"/>
      <c r="H18" s="17"/>
      <c r="I18" s="14"/>
      <c r="J18" s="14"/>
    </row>
    <row r="19" spans="1:10" x14ac:dyDescent="0.35">
      <c r="A19" s="15" t="s">
        <v>14</v>
      </c>
      <c r="B19" s="15">
        <f ca="1">SUMIF($C$6:$D$15,"MONITOR",$D$6:$D$15)</f>
        <v>41</v>
      </c>
      <c r="C19" s="34">
        <f>SUMIF($C$6:$C$15,"MONITOR",$H$6:$H$15)</f>
        <v>77900000</v>
      </c>
      <c r="D19" s="14"/>
      <c r="E19" s="17"/>
      <c r="F19" s="17"/>
      <c r="G19" s="17"/>
      <c r="H19" s="17"/>
      <c r="I19" s="14"/>
      <c r="J19" s="14"/>
    </row>
    <row r="20" spans="1:10" x14ac:dyDescent="0.35">
      <c r="A20" s="15" t="s">
        <v>15</v>
      </c>
      <c r="B20" s="15">
        <f ca="1">SUMIF($C$6:$D$15,"KEYBOARD",$D$6:$D$15)</f>
        <v>25</v>
      </c>
      <c r="C20" s="34">
        <f>SUMIF($C$6:$C$15,"KEYBOARD",$H$6:$H$15)</f>
        <v>1125000</v>
      </c>
      <c r="D20" s="14"/>
      <c r="E20" s="17"/>
      <c r="F20" s="17"/>
      <c r="G20" s="17"/>
      <c r="H20" s="17"/>
      <c r="I20" s="14"/>
      <c r="J20" s="14"/>
    </row>
    <row r="21" spans="1:10" x14ac:dyDescent="0.35">
      <c r="A21" s="30" t="s">
        <v>34</v>
      </c>
      <c r="B21" s="32">
        <f ca="1">SUM(B18:B20)</f>
        <v>101</v>
      </c>
      <c r="C21" s="31">
        <f>SUM(C18:C20)</f>
        <v>96831250</v>
      </c>
      <c r="D21" s="14"/>
      <c r="E21" s="14"/>
      <c r="F21" s="14"/>
      <c r="G21" s="14"/>
      <c r="H21" s="14"/>
      <c r="I21" s="14"/>
      <c r="J21" s="14"/>
    </row>
    <row r="22" spans="1:10" x14ac:dyDescent="0.35">
      <c r="C22" s="33"/>
    </row>
    <row r="24" spans="1:10" x14ac:dyDescent="0.35">
      <c r="A24" s="24" t="s">
        <v>16</v>
      </c>
      <c r="B24" s="24" t="s">
        <v>17</v>
      </c>
      <c r="C24" s="24" t="s">
        <v>18</v>
      </c>
      <c r="E24" s="26" t="s">
        <v>16</v>
      </c>
      <c r="F24" s="27">
        <v>101</v>
      </c>
      <c r="G24" s="27">
        <v>102</v>
      </c>
      <c r="H24" s="27">
        <v>103</v>
      </c>
    </row>
    <row r="25" spans="1:10" x14ac:dyDescent="0.35">
      <c r="A25" s="25">
        <v>101</v>
      </c>
      <c r="B25" s="25" t="s">
        <v>19</v>
      </c>
      <c r="C25" s="29">
        <v>50000</v>
      </c>
      <c r="E25" s="26" t="s">
        <v>20</v>
      </c>
      <c r="F25" s="28">
        <v>0.1</v>
      </c>
      <c r="G25" s="28">
        <v>7.4999999999999997E-2</v>
      </c>
      <c r="H25" s="28">
        <v>0.05</v>
      </c>
    </row>
    <row r="26" spans="1:10" x14ac:dyDescent="0.35">
      <c r="A26" s="25">
        <v>102</v>
      </c>
      <c r="B26" s="25" t="s">
        <v>21</v>
      </c>
      <c r="C26" s="29">
        <v>550000</v>
      </c>
    </row>
    <row r="27" spans="1:10" x14ac:dyDescent="0.35">
      <c r="A27" s="25">
        <v>103</v>
      </c>
      <c r="B27" s="25" t="s">
        <v>22</v>
      </c>
      <c r="C27" s="29">
        <v>2000000</v>
      </c>
    </row>
    <row r="30" spans="1:10" x14ac:dyDescent="0.35">
      <c r="A30" s="24" t="s">
        <v>23</v>
      </c>
      <c r="B30" s="25" t="s">
        <v>19</v>
      </c>
      <c r="C30" s="25" t="s">
        <v>21</v>
      </c>
      <c r="D30" s="25" t="s">
        <v>22</v>
      </c>
    </row>
    <row r="31" spans="1:10" x14ac:dyDescent="0.35">
      <c r="A31" s="24" t="s">
        <v>24</v>
      </c>
      <c r="B31" s="25" t="s">
        <v>25</v>
      </c>
      <c r="C31" s="25" t="s">
        <v>26</v>
      </c>
      <c r="D31" s="25" t="s">
        <v>27</v>
      </c>
    </row>
    <row r="32" spans="1:10" x14ac:dyDescent="0.35">
      <c r="A32" t="s">
        <v>28</v>
      </c>
    </row>
    <row r="33" spans="1:1" x14ac:dyDescent="0.35">
      <c r="A33" t="s">
        <v>29</v>
      </c>
    </row>
    <row r="35" spans="1:1" x14ac:dyDescent="0.35">
      <c r="A35" t="s">
        <v>10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</sheetData>
  <mergeCells count="12">
    <mergeCell ref="J4:J5"/>
    <mergeCell ref="A16:J16"/>
    <mergeCell ref="A1:J1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Rosidhatul Aulia</dc:creator>
  <cp:lastModifiedBy>Novi Rosidhatul Aulia</cp:lastModifiedBy>
  <dcterms:created xsi:type="dcterms:W3CDTF">2024-12-15T13:22:51Z</dcterms:created>
  <dcterms:modified xsi:type="dcterms:W3CDTF">2024-12-21T14:00:10Z</dcterms:modified>
</cp:coreProperties>
</file>