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kyueunlee/Library/CloudStorage/GoogleDrive-leex5499@umn.edu/My Drive/Z Drive/Project_all/2020/CDC_STD/Github/data/"/>
    </mc:Choice>
  </mc:AlternateContent>
  <xr:revisionPtr revIDLastSave="0" documentId="13_ncr:1_{AF8287D7-BA4F-6E46-A4AF-AF45077A7003}" xr6:coauthVersionLast="47" xr6:coauthVersionMax="47" xr10:uidLastSave="{00000000-0000-0000-0000-000000000000}"/>
  <bookViews>
    <workbookView xWindow="41620" yWindow="2700" windowWidth="30240" windowHeight="17300" activeTab="13" xr2:uid="{00000000-000D-0000-FFFF-FFFF00000000}"/>
  </bookViews>
  <sheets>
    <sheet name="MSW" sheetId="1" r:id="rId1"/>
    <sheet name="MSM" sheetId="2" r:id="rId2"/>
    <sheet name="nonpreg_women" sheetId="10" r:id="rId3"/>
    <sheet name="preg_women" sheetId="3" r:id="rId4"/>
    <sheet name="pTestTreat_women" sheetId="19" r:id="rId5"/>
    <sheet name="LifetimeQALYloss_CS" sheetId="14" r:id="rId6"/>
    <sheet name="age_disutility" sheetId="18" r:id="rId7"/>
    <sheet name="lifetable_m" sheetId="7" r:id="rId8"/>
    <sheet name="lifetable_f" sheetId="8" r:id="rId9"/>
    <sheet name="lifetable_all" sheetId="6" r:id="rId10"/>
    <sheet name="excessmortality_TS" sheetId="9" r:id="rId11"/>
    <sheet name="parameter_all" sheetId="4" r:id="rId12"/>
    <sheet name="QALY aggregation" sheetId="15" r:id="rId13"/>
    <sheet name="pregStageatDiag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3" l="1"/>
  <c r="V8" i="14"/>
  <c r="U8" i="14"/>
  <c r="U9" i="14" s="1"/>
  <c r="T9" i="14"/>
  <c r="T8" i="14"/>
  <c r="G35" i="15"/>
  <c r="G34" i="15"/>
  <c r="E35" i="15"/>
  <c r="E34" i="15"/>
  <c r="D35" i="15"/>
  <c r="AZ2" i="3"/>
  <c r="W2" i="3"/>
  <c r="V2" i="3"/>
  <c r="W2" i="10"/>
  <c r="V2" i="10"/>
  <c r="W2" i="2"/>
  <c r="V2" i="2"/>
  <c r="W2" i="1" l="1"/>
  <c r="V2" i="1" l="1"/>
  <c r="AX2" i="3"/>
  <c r="C27" i="15"/>
  <c r="AY2" i="3"/>
  <c r="Q9" i="14"/>
  <c r="Q8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F132" i="14"/>
  <c r="F131" i="14"/>
  <c r="E132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30" i="14"/>
  <c r="N48" i="14"/>
  <c r="N49" i="14"/>
  <c r="N50" i="14"/>
  <c r="N51" i="14"/>
  <c r="N52" i="14"/>
  <c r="E48" i="14"/>
  <c r="E49" i="14"/>
  <c r="E50" i="14"/>
  <c r="E51" i="14"/>
  <c r="E52" i="14"/>
  <c r="E53" i="14"/>
  <c r="E54" i="14"/>
  <c r="E55" i="14"/>
  <c r="E56" i="14"/>
  <c r="E57" i="14"/>
  <c r="B9" i="17"/>
  <c r="AP2" i="3"/>
  <c r="AO2" i="3"/>
  <c r="AN2" i="3"/>
  <c r="F3" i="17"/>
  <c r="F4" i="17"/>
  <c r="F2" i="17"/>
  <c r="AE2" i="3" l="1"/>
  <c r="V19" i="15" l="1"/>
  <c r="V18" i="15"/>
  <c r="H21" i="15"/>
  <c r="F24" i="15"/>
  <c r="F23" i="15"/>
  <c r="F22" i="15"/>
  <c r="F21" i="15"/>
  <c r="E24" i="15"/>
  <c r="E23" i="15"/>
  <c r="E22" i="15"/>
  <c r="E21" i="15"/>
  <c r="J7" i="15"/>
  <c r="J8" i="15"/>
  <c r="J9" i="15"/>
  <c r="J10" i="15"/>
  <c r="J11" i="15"/>
  <c r="J12" i="15"/>
  <c r="J13" i="15"/>
  <c r="J14" i="15"/>
  <c r="J15" i="15"/>
  <c r="J16" i="15"/>
  <c r="J17" i="15"/>
  <c r="J6" i="15"/>
  <c r="D2" i="17" l="1"/>
  <c r="AQ2" i="3" s="1"/>
  <c r="C14" i="17"/>
  <c r="C13" i="17"/>
  <c r="D3" i="17" s="1"/>
  <c r="AS2" i="3" s="1"/>
  <c r="C10" i="17"/>
  <c r="C11" i="17" s="1"/>
  <c r="C12" i="17" s="1"/>
  <c r="D4" i="17" l="1"/>
  <c r="AR2" i="3"/>
  <c r="X2" i="1"/>
  <c r="X2" i="2"/>
  <c r="X2" i="10"/>
  <c r="X2" i="3"/>
  <c r="U9" i="15" l="1"/>
  <c r="U10" i="15"/>
  <c r="U11" i="15"/>
  <c r="U12" i="15"/>
  <c r="U13" i="15"/>
  <c r="U14" i="15"/>
  <c r="U8" i="15"/>
  <c r="C21" i="15"/>
  <c r="C24" i="15"/>
  <c r="C22" i="15"/>
  <c r="C23" i="15"/>
  <c r="U18" i="15" l="1"/>
  <c r="R10" i="15"/>
  <c r="R8" i="15"/>
  <c r="Q14" i="15"/>
  <c r="R14" i="15" s="1"/>
  <c r="Q9" i="15"/>
  <c r="R9" i="15" s="1"/>
  <c r="Q10" i="15"/>
  <c r="Q11" i="15"/>
  <c r="R11" i="15" s="1"/>
  <c r="Q12" i="15"/>
  <c r="R12" i="15" s="1"/>
  <c r="Q13" i="15"/>
  <c r="R13" i="15" s="1"/>
  <c r="Q8" i="15"/>
  <c r="B21" i="15"/>
  <c r="G24" i="15" s="1"/>
  <c r="O17" i="15"/>
  <c r="N17" i="15"/>
  <c r="K17" i="15"/>
  <c r="L17" i="15" s="1"/>
  <c r="O16" i="15"/>
  <c r="N16" i="15"/>
  <c r="K16" i="15"/>
  <c r="L16" i="15" s="1"/>
  <c r="O15" i="15"/>
  <c r="N15" i="15"/>
  <c r="K15" i="15"/>
  <c r="L15" i="15" s="1"/>
  <c r="O14" i="15"/>
  <c r="N14" i="15"/>
  <c r="K14" i="15"/>
  <c r="L14" i="15" s="1"/>
  <c r="O13" i="15"/>
  <c r="N13" i="15"/>
  <c r="K13" i="15"/>
  <c r="L13" i="15" s="1"/>
  <c r="O12" i="15"/>
  <c r="N12" i="15"/>
  <c r="K12" i="15"/>
  <c r="L12" i="15" s="1"/>
  <c r="O11" i="15"/>
  <c r="N11" i="15"/>
  <c r="K11" i="15"/>
  <c r="L11" i="15" s="1"/>
  <c r="O10" i="15"/>
  <c r="N10" i="15"/>
  <c r="K10" i="15"/>
  <c r="L10" i="15" s="1"/>
  <c r="O9" i="15"/>
  <c r="N9" i="15"/>
  <c r="K9" i="15"/>
  <c r="L9" i="15" s="1"/>
  <c r="O8" i="15"/>
  <c r="N8" i="15"/>
  <c r="K8" i="15"/>
  <c r="L8" i="15" s="1"/>
  <c r="O7" i="15"/>
  <c r="N7" i="15"/>
  <c r="K7" i="15"/>
  <c r="L7" i="15" s="1"/>
  <c r="O6" i="15"/>
  <c r="N6" i="15"/>
  <c r="K6" i="15"/>
  <c r="L6" i="15" s="1"/>
  <c r="R9" i="14"/>
  <c r="R8" i="14"/>
  <c r="M131" i="14"/>
  <c r="M130" i="14"/>
  <c r="N130" i="14" s="1"/>
  <c r="D131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3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10" i="14"/>
  <c r="N101" i="14"/>
  <c r="N102" i="14"/>
  <c r="N103" i="14"/>
  <c r="N104" i="14"/>
  <c r="N105" i="14"/>
  <c r="N106" i="14"/>
  <c r="N107" i="14"/>
  <c r="N108" i="14"/>
  <c r="N109" i="14"/>
  <c r="N100" i="14"/>
  <c r="N91" i="14"/>
  <c r="N92" i="14"/>
  <c r="N93" i="14"/>
  <c r="N94" i="14"/>
  <c r="N95" i="14"/>
  <c r="N96" i="14"/>
  <c r="N97" i="14"/>
  <c r="N98" i="14"/>
  <c r="N99" i="14"/>
  <c r="N90" i="14"/>
  <c r="N89" i="14"/>
  <c r="N81" i="14"/>
  <c r="N82" i="14"/>
  <c r="N83" i="14"/>
  <c r="N84" i="14"/>
  <c r="N85" i="14"/>
  <c r="N86" i="14"/>
  <c r="N87" i="14"/>
  <c r="N88" i="14"/>
  <c r="N80" i="14"/>
  <c r="N71" i="14"/>
  <c r="N72" i="14"/>
  <c r="N73" i="14"/>
  <c r="N74" i="14"/>
  <c r="N75" i="14"/>
  <c r="N76" i="14"/>
  <c r="N77" i="14"/>
  <c r="N78" i="14"/>
  <c r="N79" i="14"/>
  <c r="N70" i="14"/>
  <c r="N61" i="14"/>
  <c r="N62" i="14"/>
  <c r="N63" i="14"/>
  <c r="N64" i="14"/>
  <c r="N65" i="14"/>
  <c r="N66" i="14"/>
  <c r="N67" i="14"/>
  <c r="N68" i="14"/>
  <c r="N69" i="14"/>
  <c r="N60" i="14"/>
  <c r="N59" i="14"/>
  <c r="N53" i="14"/>
  <c r="N54" i="14"/>
  <c r="N55" i="14"/>
  <c r="N56" i="14"/>
  <c r="N57" i="14"/>
  <c r="N58" i="14"/>
  <c r="N131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10" i="14"/>
  <c r="E101" i="14"/>
  <c r="E102" i="14"/>
  <c r="E103" i="14"/>
  <c r="E104" i="14"/>
  <c r="E105" i="14"/>
  <c r="E106" i="14"/>
  <c r="E107" i="14"/>
  <c r="E108" i="14"/>
  <c r="E109" i="14"/>
  <c r="E100" i="14"/>
  <c r="E91" i="14"/>
  <c r="E92" i="14"/>
  <c r="E93" i="14"/>
  <c r="E94" i="14"/>
  <c r="E95" i="14"/>
  <c r="E96" i="14"/>
  <c r="E97" i="14"/>
  <c r="E98" i="14"/>
  <c r="E99" i="14"/>
  <c r="E90" i="14"/>
  <c r="E81" i="14"/>
  <c r="E82" i="14"/>
  <c r="E83" i="14"/>
  <c r="E84" i="14"/>
  <c r="E85" i="14"/>
  <c r="E86" i="14"/>
  <c r="E87" i="14"/>
  <c r="E88" i="14"/>
  <c r="E89" i="14"/>
  <c r="E80" i="14"/>
  <c r="E71" i="14"/>
  <c r="E72" i="14"/>
  <c r="E73" i="14"/>
  <c r="E74" i="14"/>
  <c r="E75" i="14"/>
  <c r="E76" i="14"/>
  <c r="E77" i="14"/>
  <c r="E78" i="14"/>
  <c r="E79" i="14"/>
  <c r="E70" i="14"/>
  <c r="E61" i="14"/>
  <c r="E62" i="14"/>
  <c r="E63" i="14"/>
  <c r="E64" i="14"/>
  <c r="E65" i="14"/>
  <c r="E66" i="14"/>
  <c r="E67" i="14"/>
  <c r="E68" i="14"/>
  <c r="E69" i="14"/>
  <c r="E60" i="14"/>
  <c r="E58" i="14"/>
  <c r="E59" i="14"/>
  <c r="M31" i="14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M89" i="14" s="1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121" i="14" s="1"/>
  <c r="M122" i="14" s="1"/>
  <c r="M123" i="14" s="1"/>
  <c r="M124" i="14" s="1"/>
  <c r="M125" i="14" s="1"/>
  <c r="M126" i="14" s="1"/>
  <c r="M127" i="14" s="1"/>
  <c r="M128" i="14" s="1"/>
  <c r="M129" i="14" s="1"/>
  <c r="D32" i="14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31" i="14"/>
  <c r="N132" i="14" l="1"/>
  <c r="E131" i="14"/>
  <c r="R15" i="15"/>
  <c r="L18" i="15"/>
  <c r="N18" i="15"/>
  <c r="O18" i="15"/>
  <c r="N19" i="15" s="1"/>
  <c r="B24" i="15"/>
  <c r="D21" i="15" s="1"/>
  <c r="G22" i="15"/>
  <c r="H44" i="4"/>
  <c r="J45" i="4"/>
  <c r="H40" i="4"/>
  <c r="H41" i="4"/>
  <c r="H45" i="4" s="1"/>
  <c r="H42" i="4"/>
  <c r="H46" i="4" s="1"/>
  <c r="J43" i="4"/>
  <c r="J47" i="4" s="1"/>
  <c r="I43" i="4"/>
  <c r="I47" i="4" s="1"/>
  <c r="J42" i="4"/>
  <c r="J46" i="4" s="1"/>
  <c r="I42" i="4"/>
  <c r="I46" i="4" s="1"/>
  <c r="J41" i="4"/>
  <c r="I41" i="4"/>
  <c r="I45" i="4" s="1"/>
  <c r="J40" i="4"/>
  <c r="J44" i="4" s="1"/>
  <c r="I40" i="4"/>
  <c r="I44" i="4" s="1"/>
  <c r="H43" i="4"/>
  <c r="H47" i="4" s="1"/>
  <c r="G43" i="4"/>
  <c r="G47" i="4" s="1"/>
  <c r="G42" i="4"/>
  <c r="G46" i="4" s="1"/>
  <c r="G41" i="4"/>
  <c r="G45" i="4" s="1"/>
  <c r="G40" i="4"/>
  <c r="G44" i="4" s="1"/>
  <c r="F43" i="4"/>
  <c r="F47" i="4" s="1"/>
  <c r="E43" i="4"/>
  <c r="E47" i="4" s="1"/>
  <c r="F42" i="4"/>
  <c r="F46" i="4" s="1"/>
  <c r="E42" i="4"/>
  <c r="E46" i="4" s="1"/>
  <c r="F41" i="4"/>
  <c r="F45" i="4" s="1"/>
  <c r="E41" i="4"/>
  <c r="E45" i="4" s="1"/>
  <c r="F40" i="4"/>
  <c r="F44" i="4" s="1"/>
  <c r="E40" i="4"/>
  <c r="E44" i="4" s="1"/>
  <c r="S8" i="14" l="1"/>
  <c r="D23" i="15"/>
  <c r="D22" i="15"/>
  <c r="AC2" i="3" l="1"/>
  <c r="AD2" i="3"/>
  <c r="K2" i="3"/>
  <c r="L2" i="3"/>
  <c r="M2" i="3"/>
  <c r="N2" i="3"/>
  <c r="AL2" i="3"/>
  <c r="AJ2" i="3"/>
  <c r="AI2" i="3"/>
  <c r="AH2" i="3"/>
  <c r="AG2" i="3"/>
  <c r="AF2" i="3"/>
  <c r="B57" i="4"/>
  <c r="B56" i="4"/>
  <c r="B55" i="4"/>
  <c r="B54" i="4"/>
  <c r="C12" i="19" l="1"/>
  <c r="C10" i="19"/>
  <c r="G2" i="19"/>
  <c r="G11" i="19"/>
  <c r="D2" i="19"/>
  <c r="C8" i="19"/>
  <c r="D11" i="19"/>
  <c r="N2" i="10"/>
  <c r="F11" i="19" s="1"/>
  <c r="M2" i="10"/>
  <c r="E10" i="19" s="1"/>
  <c r="L2" i="10"/>
  <c r="D5" i="19" s="1"/>
  <c r="K2" i="10"/>
  <c r="N2" i="2"/>
  <c r="M2" i="2"/>
  <c r="K2" i="2"/>
  <c r="L2" i="2"/>
  <c r="J2" i="3"/>
  <c r="J2" i="10"/>
  <c r="G5" i="19" s="1"/>
  <c r="J2" i="2"/>
  <c r="J2" i="1"/>
  <c r="H2" i="3"/>
  <c r="D2" i="3" s="1"/>
  <c r="H2" i="10"/>
  <c r="D2" i="10" s="1"/>
  <c r="H2" i="2"/>
  <c r="D2" i="2" s="1"/>
  <c r="H2" i="1"/>
  <c r="D2" i="1" s="1"/>
  <c r="G2" i="3"/>
  <c r="I2" i="3" s="1"/>
  <c r="G2" i="10"/>
  <c r="I2" i="10" s="1"/>
  <c r="G2" i="2"/>
  <c r="I2" i="2" s="1"/>
  <c r="G2" i="1"/>
  <c r="I2" i="1" s="1"/>
  <c r="N2" i="1"/>
  <c r="M2" i="1"/>
  <c r="L2" i="1"/>
  <c r="K2" i="1"/>
  <c r="F9" i="19" l="1"/>
  <c r="G4" i="19"/>
  <c r="F13" i="19"/>
  <c r="E8" i="19"/>
  <c r="E13" i="19"/>
  <c r="F2" i="19"/>
  <c r="G6" i="19"/>
  <c r="G12" i="19"/>
  <c r="D4" i="19"/>
  <c r="E6" i="19"/>
  <c r="G13" i="19"/>
  <c r="F7" i="19"/>
  <c r="E2" i="19"/>
  <c r="E7" i="19"/>
  <c r="C5" i="19"/>
  <c r="E5" i="19"/>
  <c r="G10" i="19"/>
  <c r="D8" i="19"/>
  <c r="C4" i="19"/>
  <c r="E12" i="19"/>
  <c r="C9" i="19"/>
  <c r="D9" i="19"/>
  <c r="F6" i="19"/>
  <c r="C7" i="19"/>
  <c r="C3" i="19"/>
  <c r="G9" i="19"/>
  <c r="F5" i="19"/>
  <c r="F4" i="19"/>
  <c r="F10" i="19"/>
  <c r="D13" i="19"/>
  <c r="G3" i="19"/>
  <c r="E3" i="19"/>
  <c r="E4" i="19"/>
  <c r="C6" i="19"/>
  <c r="D6" i="19"/>
  <c r="E11" i="19"/>
  <c r="F8" i="19"/>
  <c r="G7" i="19"/>
  <c r="C13" i="19"/>
  <c r="D7" i="19"/>
  <c r="E9" i="19"/>
  <c r="D12" i="19"/>
  <c r="F12" i="19"/>
  <c r="F3" i="19"/>
  <c r="D10" i="19"/>
  <c r="C11" i="19"/>
  <c r="C2" i="19"/>
  <c r="G8" i="19"/>
  <c r="D3" i="19"/>
  <c r="F2" i="3"/>
  <c r="E2" i="3"/>
  <c r="A2" i="3"/>
  <c r="Y2" i="3"/>
  <c r="U2" i="3"/>
  <c r="T2" i="3"/>
  <c r="S2" i="3"/>
  <c r="R2" i="3"/>
  <c r="Y2" i="10"/>
  <c r="U2" i="10"/>
  <c r="T2" i="10"/>
  <c r="S2" i="10"/>
  <c r="R2" i="10"/>
  <c r="Y2" i="2"/>
  <c r="U2" i="2"/>
  <c r="T2" i="2"/>
  <c r="S2" i="2"/>
  <c r="R2" i="2"/>
  <c r="Y2" i="1"/>
  <c r="U2" i="1"/>
  <c r="T2" i="1"/>
  <c r="S2" i="1"/>
  <c r="R2" i="1"/>
  <c r="F2" i="10"/>
  <c r="E2" i="10"/>
  <c r="A2" i="10"/>
  <c r="F2" i="2"/>
  <c r="E2" i="2"/>
  <c r="A2" i="2"/>
  <c r="F2" i="1"/>
  <c r="E2" i="1"/>
  <c r="A2" i="1"/>
  <c r="C12" i="9" l="1"/>
  <c r="C11" i="9"/>
  <c r="C10" i="9"/>
  <c r="C9" i="9"/>
  <c r="C8" i="9"/>
  <c r="C7" i="9"/>
  <c r="C6" i="9"/>
  <c r="C5" i="9"/>
  <c r="C4" i="9"/>
  <c r="C3" i="9"/>
  <c r="B5" i="9"/>
  <c r="D5" i="9" s="1"/>
  <c r="B12" i="9"/>
  <c r="B11" i="9"/>
  <c r="B10" i="9"/>
  <c r="D10" i="9" s="1"/>
  <c r="B9" i="9"/>
  <c r="B8" i="9"/>
  <c r="D8" i="9" s="1"/>
  <c r="B7" i="9"/>
  <c r="B6" i="9"/>
  <c r="D6" i="9" s="1"/>
  <c r="B4" i="9"/>
  <c r="B3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D11" i="9" l="1"/>
  <c r="D7" i="9"/>
  <c r="D3" i="9"/>
  <c r="D12" i="9"/>
  <c r="D4" i="9"/>
  <c r="D9" i="9"/>
</calcChain>
</file>

<file path=xl/sharedStrings.xml><?xml version="1.0" encoding="utf-8"?>
<sst xmlns="http://schemas.openxmlformats.org/spreadsheetml/2006/main" count="644" uniqueCount="371">
  <si>
    <t>Variable</t>
  </si>
  <si>
    <t>Values [uncertainty]</t>
  </si>
  <si>
    <t xml:space="preserve">   Primary</t>
  </si>
  <si>
    <t xml:space="preserve">   Secondary</t>
  </si>
  <si>
    <t xml:space="preserve">   Early latent</t>
  </si>
  <si>
    <t>Probability of developing neurologic symptoms</t>
  </si>
  <si>
    <t>Probability of developing neurosyphilis given neurologic involvement</t>
  </si>
  <si>
    <t xml:space="preserve">     Primary, secondary, early latent</t>
  </si>
  <si>
    <t xml:space="preserve">     Late latent</t>
  </si>
  <si>
    <t>Average time to develop tertiary syphilis (yr)</t>
  </si>
  <si>
    <t>Probability of developing tertiary syphilis (gummatous and cardiovascular)</t>
  </si>
  <si>
    <t xml:space="preserve">     Primary</t>
  </si>
  <si>
    <t xml:space="preserve">     Secondary</t>
  </si>
  <si>
    <t xml:space="preserve">     Early latent</t>
  </si>
  <si>
    <t>Probability of treatment failure</t>
  </si>
  <si>
    <t>Mortality</t>
  </si>
  <si>
    <t xml:space="preserve">     Treated, no immunity</t>
  </si>
  <si>
    <t>Baseline mortality by age, sex</t>
  </si>
  <si>
    <t xml:space="preserve">     Treated, immunity</t>
  </si>
  <si>
    <t xml:space="preserve">     Tertiary</t>
  </si>
  <si>
    <t xml:space="preserve">     Early neurosyphilis</t>
  </si>
  <si>
    <t xml:space="preserve">     Late neurosyphilis</t>
  </si>
  <si>
    <t>Disutility</t>
  </si>
  <si>
    <t>Average duration of infection stage (month)</t>
  </si>
  <si>
    <t>pNeuro</t>
  </si>
  <si>
    <t>pNS_early</t>
  </si>
  <si>
    <t>pNS_late</t>
  </si>
  <si>
    <t>pTS2Treat</t>
  </si>
  <si>
    <t>pEN2TS</t>
  </si>
  <si>
    <t>pTxSuccess_early</t>
  </si>
  <si>
    <t>pTxSuccess_late</t>
  </si>
  <si>
    <t>Age (years)</t>
  </si>
  <si>
    <r>
      <t xml:space="preserve">Probability of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</si>
  <si>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Number surviving to age </t>
    </r>
    <r>
      <rPr>
        <i/>
        <sz val="10"/>
        <rFont val="Courier New"/>
        <family val="3"/>
      </rPr>
      <t>x</t>
    </r>
  </si>
  <si>
    <r>
      <t xml:space="preserve">Number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</si>
  <si>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Person-years lived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</si>
  <si>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Total number of person-years lived above age </t>
    </r>
    <r>
      <rPr>
        <i/>
        <sz val="10"/>
        <rFont val="Courier New"/>
        <family val="3"/>
      </rPr>
      <t>x</t>
    </r>
  </si>
  <si>
    <r>
      <t xml:space="preserve">Expectation of life at age </t>
    </r>
    <r>
      <rPr>
        <i/>
        <sz val="10"/>
        <rFont val="Courier New"/>
        <family val="3"/>
      </rPr>
      <t>x</t>
    </r>
  </si>
  <si>
    <r>
      <t>q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</si>
  <si>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</si>
  <si>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d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</si>
  <si>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</si>
  <si>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T</t>
    </r>
    <r>
      <rPr>
        <i/>
        <vertAlign val="subscript"/>
        <sz val="10"/>
        <rFont val="Courier New"/>
        <family val="3"/>
      </rPr>
      <t>x</t>
    </r>
  </si>
  <si>
    <r>
      <t>e</t>
    </r>
    <r>
      <rPr>
        <i/>
        <vertAlign val="subscript"/>
        <sz val="10"/>
        <rFont val="Courier New"/>
        <family val="3"/>
      </rPr>
      <t>x</t>
    </r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</si>
  <si>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</si>
  <si>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</si>
  <si>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</si>
  <si>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</si>
  <si>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</si>
  <si>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</si>
  <si>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</si>
  <si>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</si>
  <si>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</si>
  <si>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</si>
  <si>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</si>
  <si>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</si>
  <si>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</si>
  <si>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</si>
  <si>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</si>
  <si>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</si>
  <si>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</si>
  <si>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</si>
  <si>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</si>
  <si>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</si>
  <si>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</si>
  <si>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</si>
  <si>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</si>
  <si>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</si>
  <si>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</si>
  <si>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</si>
  <si>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</si>
  <si>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</si>
  <si>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</si>
  <si>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</si>
  <si>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</si>
  <si>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</si>
  <si>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</si>
  <si>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</si>
  <si>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</si>
  <si>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</si>
  <si>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</si>
  <si>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</si>
  <si>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</si>
  <si>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</si>
  <si>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</si>
  <si>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</si>
  <si>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</si>
  <si>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</si>
  <si>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</si>
  <si>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</si>
  <si>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</si>
  <si>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</si>
  <si>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</si>
  <si>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</si>
  <si>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</si>
  <si>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</si>
  <si>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</si>
  <si>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</si>
  <si>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</si>
  <si>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</si>
  <si>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</si>
  <si>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</si>
  <si>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</si>
  <si>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</si>
  <si>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</si>
  <si>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</si>
  <si>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</si>
  <si>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</si>
  <si>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</si>
  <si>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</si>
  <si>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</si>
  <si>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</si>
  <si>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</si>
  <si>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</si>
  <si>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</si>
  <si>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</si>
  <si>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</si>
  <si>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</si>
  <si>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</si>
  <si>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</si>
  <si>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</si>
  <si>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</si>
  <si>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</si>
  <si>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</si>
  <si>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</si>
  <si>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</si>
  <si>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</si>
  <si>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</si>
  <si>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</si>
  <si>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</si>
  <si>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</si>
  <si>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</si>
  <si>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</si>
  <si>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</si>
  <si>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</si>
  <si>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</si>
  <si>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</si>
  <si>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</si>
  <si>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</si>
  <si>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</si>
  <si>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</si>
  <si>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</si>
  <si>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</si>
  <si>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</si>
  <si>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</si>
  <si>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t>SOURCE: NCHS, National Vital Statistics System, Mortality.</t>
  </si>
  <si>
    <t>Table 2. Life table for males: United States, 2017</t>
  </si>
  <si>
    <t>Table 3. Life table for females: United States, 2017</t>
  </si>
  <si>
    <t>age</t>
  </si>
  <si>
    <t>mortality</t>
  </si>
  <si>
    <t>pSeekTx_PS</t>
  </si>
  <si>
    <t>pSeekTx_SS</t>
  </si>
  <si>
    <t>pSeekTx_EL</t>
  </si>
  <si>
    <t>pSeekTx_LL</t>
  </si>
  <si>
    <t>pEN2Treat</t>
  </si>
  <si>
    <t>See 'excessmortality_TS' tab</t>
  </si>
  <si>
    <t>https://www.ncbi.nlm.nih.gov/pmc/articles/PMC2024307/pdf/pubhealthreporig00175-0078.pdf</t>
  </si>
  <si>
    <t>untreated_rate</t>
  </si>
  <si>
    <t>nonsyphilitic_rate</t>
  </si>
  <si>
    <t>Variables below are stratified by subpopulation (MSM, MSW, non-pregnant women)</t>
  </si>
  <si>
    <t>MSW</t>
  </si>
  <si>
    <t>MSM</t>
  </si>
  <si>
    <t>Non-pregnant women</t>
  </si>
  <si>
    <t>Probability of seeking treatment for syphilis symptoms* (annual rate of screen and treat</t>
  </si>
  <si>
    <t>Dur_PS</t>
  </si>
  <si>
    <t>Dur_SS</t>
  </si>
  <si>
    <t>uPS</t>
  </si>
  <si>
    <t>uSS</t>
  </si>
  <si>
    <t>uEN</t>
  </si>
  <si>
    <t>uTS</t>
  </si>
  <si>
    <t>uEL</t>
  </si>
  <si>
    <t>uLL</t>
  </si>
  <si>
    <t>uLN</t>
  </si>
  <si>
    <t>uTreat</t>
  </si>
  <si>
    <t>uDead_TS</t>
  </si>
  <si>
    <t>uDead_other</t>
  </si>
  <si>
    <t>Time to develop tertiary syphilis (yr)</t>
  </si>
  <si>
    <t>TTTS</t>
  </si>
  <si>
    <t>Dur_EL</t>
  </si>
  <si>
    <t>TTLN</t>
  </si>
  <si>
    <t>Time to develop late neurosyphilis (yr)</t>
  </si>
  <si>
    <t>Probability of progressing from early neurosyphilis to tertiary syphilis (6 month)</t>
  </si>
  <si>
    <t>Probability of recovery from symptomatic early neurosyphilis without disability, following treatment (6month)</t>
  </si>
  <si>
    <t xml:space="preserve">     Late syphilis</t>
  </si>
  <si>
    <t>uTS_notx</t>
  </si>
  <si>
    <t>Screening and treatment for syphilis during pregnancy</t>
  </si>
  <si>
    <t xml:space="preserve">   Attending antenatal care</t>
  </si>
  <si>
    <t xml:space="preserve">   Screening for syphilis during antenatal care visit</t>
  </si>
  <si>
    <t>0.74-0.85</t>
  </si>
  <si>
    <t>assumed</t>
  </si>
  <si>
    <t xml:space="preserve">   Probability that treatment was successful</t>
  </si>
  <si>
    <t>10% of women in the US are allergic to penicillin (Cantor A 2016 AHRQ) </t>
  </si>
  <si>
    <t>Probability of vertical transmission if untreated</t>
  </si>
  <si>
    <t xml:space="preserve">    Primary, secondary</t>
  </si>
  <si>
    <t>Khan J 2018</t>
  </si>
  <si>
    <t xml:space="preserve">    Latent</t>
  </si>
  <si>
    <t>Probability of adverse pregnancy outcomes if vertical transmission occurred</t>
  </si>
  <si>
    <t xml:space="preserve">    Congenital syphilis</t>
  </si>
  <si>
    <t xml:space="preserve">    Low birth weight</t>
  </si>
  <si>
    <t xml:space="preserve">    Neonatal death</t>
  </si>
  <si>
    <t xml:space="preserve">    Still birth</t>
  </si>
  <si>
    <t>Disutility of adverse pregnancy outcomes</t>
  </si>
  <si>
    <t xml:space="preserve">    Congenital syphilis (infant)</t>
  </si>
  <si>
    <t>Hersh AR 2018</t>
  </si>
  <si>
    <t xml:space="preserve">    Congenital syphilis (maternal)</t>
  </si>
  <si>
    <t xml:space="preserve">    Low birth weight (infant)</t>
  </si>
  <si>
    <t>Kahn JG 2013</t>
  </si>
  <si>
    <t xml:space="preserve">    Low birth weight (maternal)</t>
  </si>
  <si>
    <t xml:space="preserve">    Stillbirth (maternal)</t>
  </si>
  <si>
    <t xml:space="preserve">    Neonatal death (maternal)</t>
  </si>
  <si>
    <t>duCS_mat</t>
  </si>
  <si>
    <t>duCS_neo</t>
  </si>
  <si>
    <t>duLB_mat</t>
  </si>
  <si>
    <t>duLB_neo</t>
  </si>
  <si>
    <t>duSB_mat</t>
  </si>
  <si>
    <t>duSB_neo</t>
  </si>
  <si>
    <t>duND_mat</t>
  </si>
  <si>
    <t>duND_neo</t>
  </si>
  <si>
    <t>pSB</t>
  </si>
  <si>
    <t>pAnteCare</t>
  </si>
  <si>
    <t>pScreenAnteCare</t>
  </si>
  <si>
    <t>pTxSuccess_preg</t>
  </si>
  <si>
    <t>0.25-3</t>
  </si>
  <si>
    <t>0.5-6</t>
  </si>
  <si>
    <t>Widest range</t>
  </si>
  <si>
    <t>3-11.4</t>
  </si>
  <si>
    <t>0.15-0.35</t>
  </si>
  <si>
    <t>0.2-0.4</t>
  </si>
  <si>
    <t>0.2-0.6</t>
  </si>
  <si>
    <t>0.03-.09</t>
  </si>
  <si>
    <t>0.54-0.83</t>
  </si>
  <si>
    <t>0-0.09</t>
  </si>
  <si>
    <t>0.15-0.3</t>
  </si>
  <si>
    <t>10-30</t>
  </si>
  <si>
    <t>2-30</t>
  </si>
  <si>
    <t>0.4-0.7</t>
  </si>
  <si>
    <t>0.1-0.3</t>
  </si>
  <si>
    <t>0.05-0.2</t>
  </si>
  <si>
    <t>0.2-0.3</t>
  </si>
  <si>
    <t>65+</t>
  </si>
  <si>
    <t>Pregnant women</t>
  </si>
  <si>
    <t>Age Group</t>
  </si>
  <si>
    <t>Female</t>
  </si>
  <si>
    <t>rateratio</t>
  </si>
  <si>
    <t>LB</t>
    <phoneticPr fontId="9" type="noConversion"/>
  </si>
  <si>
    <t>UB</t>
    <phoneticPr fontId="9" type="noConversion"/>
  </si>
  <si>
    <t>MSW</t>
    <phoneticPr fontId="9" type="noConversion"/>
  </si>
  <si>
    <t>MSM</t>
    <phoneticPr fontId="9" type="noConversion"/>
  </si>
  <si>
    <t>Non-preg women</t>
    <phoneticPr fontId="9" type="noConversion"/>
  </si>
  <si>
    <t>SF-6D</t>
  </si>
  <si>
    <t>Lower 95% CI</t>
  </si>
  <si>
    <t>Mean</t>
  </si>
  <si>
    <t>Upper 95% CI</t>
  </si>
  <si>
    <t>minimum</t>
  </si>
  <si>
    <t>maximum</t>
  </si>
  <si>
    <t>30-39</t>
  </si>
  <si>
    <t>40-49</t>
  </si>
  <si>
    <t>50-59</t>
  </si>
  <si>
    <t>60-69</t>
  </si>
  <si>
    <t>70-79</t>
  </si>
  <si>
    <t>80-89</t>
  </si>
  <si>
    <t>Male</t>
  </si>
  <si>
    <t>annual mortality prob</t>
  </si>
  <si>
    <t>% alive</t>
  </si>
  <si>
    <t>utility-weighted</t>
  </si>
  <si>
    <t>Assumed perfect utility until age 19</t>
  </si>
  <si>
    <t>result:</t>
  </si>
  <si>
    <t>Men</t>
  </si>
  <si>
    <t>Women</t>
  </si>
  <si>
    <t>sex ratio at birth</t>
  </si>
  <si>
    <t>still brith</t>
  </si>
  <si>
    <t>Weight</t>
  </si>
  <si>
    <t>QALY Loss</t>
  </si>
  <si>
    <t>% of syphilis cases* (Male)</t>
  </si>
  <si>
    <t>% of syphilis cases*</t>
  </si>
  <si>
    <t>Prevalence of pregnancy (%)</t>
  </si>
  <si>
    <t>Weighted average among women</t>
  </si>
  <si>
    <t>(Female)</t>
  </si>
  <si>
    <t>0-4</t>
  </si>
  <si>
    <t>15-19</t>
  </si>
  <si>
    <t>20-24</t>
  </si>
  <si>
    <t>25-29</t>
  </si>
  <si>
    <t>30-34</t>
  </si>
  <si>
    <t>35-39</t>
  </si>
  <si>
    <t>40-44</t>
  </si>
  <si>
    <t>45-54</t>
  </si>
  <si>
    <t>55-64</t>
  </si>
  <si>
    <t>Aggregated</t>
  </si>
  <si>
    <t>% of syphilis cases among women in fertile ages</t>
  </si>
  <si>
    <t>syphilis iin pregancny</t>
  </si>
  <si>
    <t>total P&amp;S syphilis in 2018</t>
  </si>
  <si>
    <t>total infections</t>
  </si>
  <si>
    <t>in test run</t>
  </si>
  <si>
    <t>12-dur_PS-dur_SS</t>
  </si>
  <si>
    <t>0.03-0.09</t>
  </si>
  <si>
    <t>0.06 - 0.12</t>
  </si>
  <si>
    <t>0.15 - 0.35</t>
  </si>
  <si>
    <t>fixed</t>
  </si>
  <si>
    <t>0 - 0.09</t>
  </si>
  <si>
    <t>0.15 - 0.3</t>
  </si>
  <si>
    <t>0.4 - 0.7</t>
  </si>
  <si>
    <t>0.8-1</t>
  </si>
  <si>
    <t>0.05 - 0.15</t>
  </si>
  <si>
    <t>0-0.1</t>
  </si>
  <si>
    <t>Earyl neurosyphilis</t>
  </si>
  <si>
    <t>bacterial Meningitis, HUI, school age</t>
  </si>
  <si>
    <t>Koomen I 2003</t>
  </si>
  <si>
    <t>https://reader.elsevier.com/reader/sd/pii/S1098301515050895?token=C27B914E8D855240592B3679BEF965AF4F2451B72C344EB7FB814B14CD578D2FC21E78F6822323EF5BE944B96C159346</t>
  </si>
  <si>
    <t>bacterial meningitis</t>
  </si>
  <si>
    <t>Feldman Charles 2020</t>
  </si>
  <si>
    <t>https://www.ncbi.nlm.nih.gov/pmc/articles/PMC6988977/</t>
  </si>
  <si>
    <t>https://www.ncbi.nlm.nih.gov/pmc/articles/PMC6105576/</t>
  </si>
  <si>
    <t>bacteiral vs viral mengitis (UK population)</t>
  </si>
  <si>
    <t>pDiagPS</t>
  </si>
  <si>
    <t>pDiagSS</t>
  </si>
  <si>
    <t>pDiagEL</t>
  </si>
  <si>
    <t>Primary</t>
  </si>
  <si>
    <t>Secondary</t>
  </si>
  <si>
    <t>Early latent</t>
  </si>
  <si>
    <t>No care</t>
  </si>
  <si>
    <t>assumed stage at diagnosis</t>
  </si>
  <si>
    <t xml:space="preserve">percentage of pregnant women </t>
  </si>
  <si>
    <t>first</t>
  </si>
  <si>
    <t>trimester when antenatal care began</t>
  </si>
  <si>
    <t>second</t>
  </si>
  <si>
    <t>third</t>
  </si>
  <si>
    <t>.</t>
  </si>
  <si>
    <t>disutility occurred before receiving treatment</t>
  </si>
  <si>
    <t>primary</t>
  </si>
  <si>
    <t>secondary</t>
  </si>
  <si>
    <t>early latent</t>
  </si>
  <si>
    <t>expected disutility before treatment</t>
  </si>
  <si>
    <t>du_DiagPS</t>
  </si>
  <si>
    <t>du_DiagSS</t>
  </si>
  <si>
    <t>du_DiagEL</t>
  </si>
  <si>
    <t>mother</t>
  </si>
  <si>
    <t>baby</t>
  </si>
  <si>
    <t xml:space="preserve">   Probability of receiving adequate treatment</t>
  </si>
  <si>
    <t>Korenromp EL 2019 (see appendix excel file, 95% treatment coverage - probability of treatment failure (10%)</t>
  </si>
  <si>
    <t>Korenromp EL 2019 (see appendix excel file)</t>
  </si>
  <si>
    <t>Koreanromp EL 2019 (see appendix excel file). Has similar numbers to National Vital report (2016)</t>
  </si>
  <si>
    <t>sysphilis stage among those who visited antenatal care</t>
  </si>
  <si>
    <t>18-29</t>
  </si>
  <si>
    <t>discounted</t>
  </si>
  <si>
    <t>* Reference for age-specific utility score: Suillivan P 2006 MDM 2006</t>
  </si>
  <si>
    <t>age_disutility</t>
  </si>
  <si>
    <t>pSympCS</t>
  </si>
  <si>
    <t>pAsympCS</t>
  </si>
  <si>
    <t>pSympCS_LB</t>
  </si>
  <si>
    <t>pSympCS_others</t>
  </si>
  <si>
    <t>qalyloss_SB</t>
  </si>
  <si>
    <t>CS</t>
  </si>
  <si>
    <t>PS</t>
  </si>
  <si>
    <t>SS</t>
  </si>
  <si>
    <t>EL</t>
  </si>
  <si>
    <t>LL</t>
  </si>
  <si>
    <t>EN</t>
  </si>
  <si>
    <t>prev_preg</t>
  </si>
  <si>
    <t>pTT_monthly</t>
  </si>
  <si>
    <t>0.002-0.012</t>
  </si>
  <si>
    <t xml:space="preserve">     Neurosyphilis</t>
  </si>
  <si>
    <t xml:space="preserve">    Other tertiary syphilis</t>
  </si>
  <si>
    <t>0.168-0.333</t>
  </si>
  <si>
    <t>0.134-0.29</t>
  </si>
  <si>
    <t xml:space="preserve">    Longterm disutility from tertiary syphilis</t>
  </si>
  <si>
    <t>Expected lifetime QALY loss (stillbirth), discounted</t>
  </si>
  <si>
    <t>Expected lifetime QALY loss (stillbirth), undiscounted</t>
  </si>
  <si>
    <t>Expected lifetime QALY/undiscounted</t>
  </si>
  <si>
    <t>Expected lifetime QALY/discounted</t>
  </si>
  <si>
    <t>qalyloss_SB_undisc</t>
  </si>
  <si>
    <t>*This elaborates how to calculate the expected lifetime QALY loss for stillbirth and neonatal babies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</si>
</sst>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"/>
    <numFmt numFmtId="166" formatCode="#,##0.0"/>
    <numFmt numFmtId="167" formatCode="#,##0.000000"/>
    <numFmt numFmtId="168" formatCode="0.000"/>
    <numFmt numFmtId="169" formatCode="0.0000"/>
    <numFmt numFmtId="170" formatCode="0.00000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sz val="12"/>
      <name val="Arial"/>
      <family val="2"/>
    </font>
    <font>
      <sz val="10"/>
      <name val="Courier New"/>
      <family val="3"/>
    </font>
    <font>
      <i/>
      <sz val="10"/>
      <name val="Courier New"/>
      <family val="3"/>
    </font>
    <font>
      <i/>
      <vertAlign val="subscript"/>
      <sz val="10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5"/>
      <color theme="1"/>
      <name val="Calibri"/>
      <family val="2"/>
      <scheme val="minor"/>
    </font>
    <font>
      <sz val="16"/>
      <color rgb="FF000000"/>
      <name val="Source Sans Pro"/>
    </font>
    <font>
      <sz val="18"/>
      <name val="Arial"/>
      <family val="2"/>
    </font>
    <font>
      <sz val="16"/>
      <color rgb="FF000000"/>
      <name val="Arial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CECC"/>
        <bgColor indexed="64"/>
      </patternFill>
    </fill>
    <fill>
      <patternFill patternType="solid">
        <fgColor rgb="FFEEE8E7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3" fontId="3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164" fontId="4" fillId="0" borderId="3" xfId="1" applyNumberFormat="1" applyFont="1" applyBorder="1" applyAlignment="1">
      <alignment horizontal="center" wrapText="1"/>
    </xf>
    <xf numFmtId="3" fontId="4" fillId="0" borderId="2" xfId="1" applyFont="1" applyBorder="1" applyAlignment="1">
      <alignment horizontal="center" wrapText="1"/>
    </xf>
    <xf numFmtId="3" fontId="4" fillId="0" borderId="4" xfId="1" applyFont="1" applyBorder="1" applyAlignment="1">
      <alignment horizontal="center" wrapText="1"/>
    </xf>
    <xf numFmtId="164" fontId="5" fillId="0" borderId="6" xfId="1" applyNumberFormat="1" applyFont="1" applyBorder="1" applyAlignment="1">
      <alignment horizontal="center"/>
    </xf>
    <xf numFmtId="3" fontId="5" fillId="0" borderId="7" xfId="1" applyFont="1" applyBorder="1" applyAlignment="1">
      <alignment horizontal="center"/>
    </xf>
    <xf numFmtId="3" fontId="5" fillId="0" borderId="8" xfId="1" applyFont="1" applyBorder="1" applyAlignment="1">
      <alignment horizontal="center"/>
    </xf>
    <xf numFmtId="0" fontId="2" fillId="0" borderId="9" xfId="0" applyFont="1" applyBorder="1"/>
    <xf numFmtId="164" fontId="2" fillId="0" borderId="0" xfId="0" applyNumberFormat="1" applyFont="1"/>
    <xf numFmtId="3" fontId="2" fillId="0" borderId="0" xfId="0" applyNumberFormat="1" applyFont="1"/>
    <xf numFmtId="165" fontId="2" fillId="0" borderId="4" xfId="0" applyNumberFormat="1" applyFont="1" applyBorder="1"/>
    <xf numFmtId="16" fontId="2" fillId="0" borderId="9" xfId="0" quotePrefix="1" applyNumberFormat="1" applyFont="1" applyBorder="1"/>
    <xf numFmtId="165" fontId="2" fillId="0" borderId="10" xfId="0" applyNumberFormat="1" applyFont="1" applyBorder="1"/>
    <xf numFmtId="16" fontId="2" fillId="0" borderId="11" xfId="0" applyNumberFormat="1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165" fontId="2" fillId="0" borderId="12" xfId="0" applyNumberFormat="1" applyFont="1" applyBorder="1"/>
    <xf numFmtId="0" fontId="2" fillId="0" borderId="0" xfId="0" applyFont="1"/>
    <xf numFmtId="167" fontId="2" fillId="0" borderId="0" xfId="0" applyNumberFormat="1" applyFont="1"/>
    <xf numFmtId="167" fontId="2" fillId="0" borderId="1" xfId="0" applyNumberFormat="1" applyFont="1" applyBorder="1"/>
    <xf numFmtId="166" fontId="2" fillId="0" borderId="4" xfId="0" applyNumberFormat="1" applyFont="1" applyBorder="1"/>
    <xf numFmtId="166" fontId="2" fillId="0" borderId="10" xfId="0" applyNumberFormat="1" applyFont="1" applyBorder="1"/>
    <xf numFmtId="166" fontId="2" fillId="0" borderId="12" xfId="0" applyNumberFormat="1" applyFont="1" applyBorder="1"/>
    <xf numFmtId="0" fontId="7" fillId="0" borderId="0" xfId="2"/>
    <xf numFmtId="2" fontId="0" fillId="0" borderId="0" xfId="0" applyNumberFormat="1"/>
    <xf numFmtId="0" fontId="0" fillId="0" borderId="0" xfId="0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49" fontId="0" fillId="0" borderId="0" xfId="0" applyNumberFormat="1"/>
    <xf numFmtId="2" fontId="0" fillId="0" borderId="16" xfId="0" applyNumberFormat="1" applyBorder="1" applyAlignment="1">
      <alignment vertical="center" wrapText="1"/>
    </xf>
    <xf numFmtId="0" fontId="10" fillId="4" borderId="22" xfId="0" applyFont="1" applyFill="1" applyBorder="1"/>
    <xf numFmtId="0" fontId="10" fillId="4" borderId="23" xfId="0" applyFont="1" applyFill="1" applyBorder="1" applyAlignment="1">
      <alignment vertical="top" wrapText="1"/>
    </xf>
    <xf numFmtId="0" fontId="10" fillId="4" borderId="23" xfId="0" applyFont="1" applyFill="1" applyBorder="1"/>
    <xf numFmtId="9" fontId="10" fillId="4" borderId="23" xfId="0" applyNumberFormat="1" applyFont="1" applyFill="1" applyBorder="1" applyAlignment="1">
      <alignment vertical="top" wrapText="1"/>
    </xf>
    <xf numFmtId="0" fontId="10" fillId="4" borderId="24" xfId="0" applyFont="1" applyFill="1" applyBorder="1" applyAlignment="1">
      <alignment vertical="top" wrapText="1"/>
    </xf>
    <xf numFmtId="0" fontId="10" fillId="4" borderId="25" xfId="0" applyFont="1" applyFill="1" applyBorder="1" applyAlignment="1">
      <alignment vertical="top" wrapText="1"/>
    </xf>
    <xf numFmtId="168" fontId="12" fillId="0" borderId="7" xfId="0" applyNumberFormat="1" applyFont="1" applyBorder="1" applyAlignment="1">
      <alignment horizontal="right" vertical="top" wrapText="1"/>
    </xf>
    <xf numFmtId="168" fontId="12" fillId="0" borderId="7" xfId="0" applyNumberFormat="1" applyFont="1" applyBorder="1"/>
    <xf numFmtId="168" fontId="12" fillId="0" borderId="7" xfId="0" applyNumberFormat="1" applyFont="1" applyBorder="1" applyAlignment="1">
      <alignment vertical="top" wrapText="1"/>
    </xf>
    <xf numFmtId="168" fontId="12" fillId="0" borderId="26" xfId="0" applyNumberFormat="1" applyFont="1" applyBorder="1" applyAlignment="1">
      <alignment vertical="top" wrapText="1"/>
    </xf>
    <xf numFmtId="0" fontId="10" fillId="4" borderId="27" xfId="0" applyFont="1" applyFill="1" applyBorder="1" applyAlignment="1">
      <alignment vertical="top" wrapText="1"/>
    </xf>
    <xf numFmtId="168" fontId="12" fillId="0" borderId="28" xfId="0" applyNumberFormat="1" applyFont="1" applyBorder="1" applyAlignment="1">
      <alignment horizontal="right" vertical="top" wrapText="1"/>
    </xf>
    <xf numFmtId="168" fontId="12" fillId="0" borderId="28" xfId="0" applyNumberFormat="1" applyFont="1" applyBorder="1"/>
    <xf numFmtId="168" fontId="12" fillId="0" borderId="28" xfId="0" applyNumberFormat="1" applyFont="1" applyBorder="1" applyAlignment="1">
      <alignment vertical="top" wrapText="1"/>
    </xf>
    <xf numFmtId="168" fontId="12" fillId="0" borderId="29" xfId="0" applyNumberFormat="1" applyFont="1" applyBorder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0" fillId="2" borderId="0" xfId="0" applyFill="1"/>
    <xf numFmtId="0" fontId="13" fillId="5" borderId="0" xfId="0" applyFont="1" applyFill="1"/>
    <xf numFmtId="0" fontId="14" fillId="6" borderId="30" xfId="0" applyFont="1" applyFill="1" applyBorder="1" applyAlignment="1">
      <alignment horizontal="left" vertical="center" wrapText="1" readingOrder="1"/>
    </xf>
    <xf numFmtId="0" fontId="14" fillId="7" borderId="34" xfId="0" applyFont="1" applyFill="1" applyBorder="1" applyAlignment="1">
      <alignment horizontal="left" vertical="center" wrapText="1" readingOrder="1"/>
    </xf>
    <xf numFmtId="0" fontId="14" fillId="7" borderId="35" xfId="0" applyFont="1" applyFill="1" applyBorder="1" applyAlignment="1">
      <alignment horizontal="left" vertical="center" wrapText="1" readingOrder="1"/>
    </xf>
    <xf numFmtId="16" fontId="14" fillId="7" borderId="30" xfId="0" applyNumberFormat="1" applyFont="1" applyFill="1" applyBorder="1" applyAlignment="1">
      <alignment horizontal="left" vertical="center" wrapText="1" readingOrder="1"/>
    </xf>
    <xf numFmtId="0" fontId="14" fillId="7" borderId="30" xfId="0" applyFont="1" applyFill="1" applyBorder="1" applyAlignment="1">
      <alignment horizontal="left" vertical="center" wrapText="1" readingOrder="1"/>
    </xf>
    <xf numFmtId="16" fontId="14" fillId="6" borderId="30" xfId="0" applyNumberFormat="1" applyFont="1" applyFill="1" applyBorder="1" applyAlignment="1">
      <alignment horizontal="left" vertical="center" wrapText="1" readingOrder="1"/>
    </xf>
    <xf numFmtId="0" fontId="15" fillId="6" borderId="30" xfId="0" applyFont="1" applyFill="1" applyBorder="1" applyAlignment="1">
      <alignment vertical="center" wrapText="1"/>
    </xf>
    <xf numFmtId="0" fontId="16" fillId="6" borderId="30" xfId="0" applyFont="1" applyFill="1" applyBorder="1" applyAlignment="1">
      <alignment horizontal="left" vertical="center" wrapText="1" readingOrder="1"/>
    </xf>
    <xf numFmtId="169" fontId="14" fillId="6" borderId="30" xfId="0" applyNumberFormat="1" applyFont="1" applyFill="1" applyBorder="1" applyAlignment="1">
      <alignment horizontal="left" vertical="center" wrapText="1" readingOrder="1"/>
    </xf>
    <xf numFmtId="0" fontId="17" fillId="0" borderId="36" xfId="0" applyFont="1" applyBorder="1" applyAlignment="1">
      <alignment vertical="center" wrapText="1"/>
    </xf>
    <xf numFmtId="0" fontId="17" fillId="0" borderId="37" xfId="0" applyFont="1" applyBorder="1" applyAlignment="1">
      <alignment vertical="center" wrapText="1"/>
    </xf>
    <xf numFmtId="170" fontId="14" fillId="6" borderId="30" xfId="0" applyNumberFormat="1" applyFont="1" applyFill="1" applyBorder="1" applyAlignment="1">
      <alignment horizontal="left" vertical="center" wrapText="1" readingOrder="1"/>
    </xf>
    <xf numFmtId="169" fontId="8" fillId="0" borderId="0" xfId="0" applyNumberFormat="1" applyFont="1"/>
    <xf numFmtId="0" fontId="0" fillId="8" borderId="0" xfId="0" applyFill="1" applyAlignment="1">
      <alignment vertical="center" wrapText="1"/>
    </xf>
    <xf numFmtId="0" fontId="0" fillId="8" borderId="0" xfId="0" applyFill="1"/>
    <xf numFmtId="0" fontId="13" fillId="0" borderId="0" xfId="0" applyFont="1"/>
    <xf numFmtId="0" fontId="10" fillId="3" borderId="19" xfId="0" applyFont="1" applyFill="1" applyBorder="1" applyAlignment="1">
      <alignment vertical="top"/>
    </xf>
    <xf numFmtId="0" fontId="11" fillId="3" borderId="20" xfId="0" applyFont="1" applyFill="1" applyBorder="1"/>
    <xf numFmtId="0" fontId="11" fillId="3" borderId="21" xfId="0" applyFont="1" applyFill="1" applyBorder="1"/>
    <xf numFmtId="0" fontId="14" fillId="6" borderId="31" xfId="0" applyFont="1" applyFill="1" applyBorder="1" applyAlignment="1">
      <alignment horizontal="center" vertical="center" wrapText="1" readingOrder="1"/>
    </xf>
    <xf numFmtId="0" fontId="14" fillId="6" borderId="32" xfId="0" applyFont="1" applyFill="1" applyBorder="1" applyAlignment="1">
      <alignment horizontal="center" vertical="center" wrapText="1" readingOrder="1"/>
    </xf>
    <xf numFmtId="0" fontId="14" fillId="6" borderId="33" xfId="0" applyFont="1" applyFill="1" applyBorder="1" applyAlignment="1">
      <alignment horizontal="center" vertical="center" wrapText="1" readingOrder="1"/>
    </xf>
    <xf numFmtId="0" fontId="14" fillId="7" borderId="34" xfId="0" applyFont="1" applyFill="1" applyBorder="1" applyAlignment="1">
      <alignment horizontal="left" vertical="center" wrapText="1" readingOrder="1"/>
    </xf>
    <xf numFmtId="0" fontId="14" fillId="7" borderId="35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/>
    <xf numFmtId="3" fontId="4" fillId="0" borderId="2" xfId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Normal_Tb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2024307/pdf/pubhealthreporig00175-007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zoomScale="95" zoomScaleNormal="95" workbookViewId="0">
      <selection activeCell="V2" sqref="V2"/>
    </sheetView>
  </sheetViews>
  <sheetFormatPr baseColWidth="10" defaultColWidth="9.1640625" defaultRowHeight="15" x14ac:dyDescent="0.2"/>
  <sheetData>
    <row r="1" spans="1:28" x14ac:dyDescent="0.2">
      <c r="A1" t="s">
        <v>164</v>
      </c>
      <c r="B1" t="s">
        <v>24</v>
      </c>
      <c r="C1" t="s">
        <v>25</v>
      </c>
      <c r="D1" t="s">
        <v>26</v>
      </c>
      <c r="E1" t="s">
        <v>165</v>
      </c>
      <c r="F1" t="s">
        <v>178</v>
      </c>
      <c r="G1" t="s">
        <v>177</v>
      </c>
      <c r="H1" t="s">
        <v>179</v>
      </c>
      <c r="I1" t="s">
        <v>28</v>
      </c>
      <c r="J1" t="s">
        <v>154</v>
      </c>
      <c r="K1" t="s">
        <v>150</v>
      </c>
      <c r="L1" t="s">
        <v>151</v>
      </c>
      <c r="M1" t="s">
        <v>152</v>
      </c>
      <c r="N1" t="s">
        <v>153</v>
      </c>
      <c r="O1" t="s">
        <v>29</v>
      </c>
      <c r="P1" t="s">
        <v>30</v>
      </c>
      <c r="Q1" t="s">
        <v>27</v>
      </c>
      <c r="R1" t="s">
        <v>166</v>
      </c>
      <c r="S1" t="s">
        <v>167</v>
      </c>
      <c r="T1" t="s">
        <v>170</v>
      </c>
      <c r="U1" t="s">
        <v>171</v>
      </c>
      <c r="V1" t="s">
        <v>184</v>
      </c>
      <c r="W1" t="s">
        <v>169</v>
      </c>
      <c r="X1" t="s">
        <v>168</v>
      </c>
      <c r="Y1" t="s">
        <v>172</v>
      </c>
      <c r="Z1" t="s">
        <v>173</v>
      </c>
      <c r="AA1" t="s">
        <v>174</v>
      </c>
      <c r="AB1" t="s">
        <v>175</v>
      </c>
    </row>
    <row r="2" spans="1:28" x14ac:dyDescent="0.2">
      <c r="A2">
        <f>parameter_all!B3</f>
        <v>0.7</v>
      </c>
      <c r="B2">
        <v>0.33</v>
      </c>
      <c r="C2">
        <v>0.05</v>
      </c>
      <c r="D2">
        <f>1-EXP(LN(1-parameter_all!B10)/H2)</f>
        <v>5.2381098238585277E-4</v>
      </c>
      <c r="E2">
        <f>parameter_all!B4</f>
        <v>3.6</v>
      </c>
      <c r="F2">
        <f>parameter_all!B5</f>
        <v>7.7</v>
      </c>
      <c r="G2">
        <f>parameter_all!B17*12</f>
        <v>240</v>
      </c>
      <c r="H2">
        <f>12*parameter_all!B18</f>
        <v>180</v>
      </c>
      <c r="I2">
        <f>1-EXP(LN(1-parameter_all!B12)/G2)</f>
        <v>1.1979571776040698E-3</v>
      </c>
      <c r="J2">
        <f>1-EXP(LN(1-parameter_all!B13)/6)</f>
        <v>0.18181117699997296</v>
      </c>
      <c r="K2">
        <f>1-EXP(LN(1-parameter_all!B40)/12)</f>
        <v>2.9285530376777613E-2</v>
      </c>
      <c r="L2">
        <f>1-EXP(LN(1-parameter_all!B41)/12)</f>
        <v>5.7713418464106159E-2</v>
      </c>
      <c r="M2">
        <f>1-EXP(LN(1-parameter_all!B42)/12)</f>
        <v>2.9285530376777613E-2</v>
      </c>
      <c r="N2">
        <f>1-EXP(LN(1-parameter_all!B43)/12)</f>
        <v>1.7406806147310161E-2</v>
      </c>
      <c r="O2">
        <v>0.95</v>
      </c>
      <c r="P2">
        <v>0.81</v>
      </c>
      <c r="Q2">
        <v>0</v>
      </c>
      <c r="R2">
        <f>1-parameter_all!B30</f>
        <v>0.99399999999999999</v>
      </c>
      <c r="S2">
        <f>1-parameter_all!B31</f>
        <v>0.95899999999999996</v>
      </c>
      <c r="T2">
        <f>1-parameter_all!B32</f>
        <v>1</v>
      </c>
      <c r="U2">
        <f>1-parameter_all!B33</f>
        <v>1</v>
      </c>
      <c r="V2">
        <f>1-parameter_all!B35</f>
        <v>0.75700000000000001</v>
      </c>
      <c r="W2">
        <f>1-parameter_all!B36</f>
        <v>0.90600000000000003</v>
      </c>
      <c r="X2">
        <f>1-parameter_all!B65</f>
        <v>0.95</v>
      </c>
      <c r="Y2">
        <f>1-parameter_all!B34</f>
        <v>0.79699999999999993</v>
      </c>
      <c r="Z2">
        <v>1</v>
      </c>
      <c r="AA2">
        <v>0</v>
      </c>
      <c r="AB2">
        <v>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6"/>
  <sheetViews>
    <sheetView workbookViewId="0">
      <selection activeCell="I28" sqref="I28"/>
    </sheetView>
  </sheetViews>
  <sheetFormatPr baseColWidth="10" defaultColWidth="9.6640625" defaultRowHeight="15" x14ac:dyDescent="0.2"/>
  <cols>
    <col min="1" max="3" width="14.6640625" customWidth="1"/>
    <col min="4" max="4" width="14.33203125" bestFit="1" customWidth="1"/>
    <col min="5" max="5" width="15.6640625" bestFit="1" customWidth="1"/>
    <col min="6" max="7" width="13.6640625" customWidth="1"/>
  </cols>
  <sheetData>
    <row r="1" spans="1:14" x14ac:dyDescent="0.2">
      <c r="A1" s="81" t="s">
        <v>146</v>
      </c>
      <c r="B1" s="82"/>
      <c r="C1" s="82"/>
      <c r="D1" s="82"/>
      <c r="E1" s="82"/>
      <c r="F1" s="82"/>
      <c r="G1" s="82"/>
      <c r="H1" s="81" t="s">
        <v>147</v>
      </c>
      <c r="I1" s="82"/>
      <c r="J1" s="82"/>
      <c r="K1" s="82"/>
      <c r="L1" s="82"/>
      <c r="M1" s="82"/>
      <c r="N1" s="82"/>
    </row>
    <row r="2" spans="1:14" ht="67.5" customHeight="1" x14ac:dyDescent="0.2">
      <c r="A2" s="83" t="s">
        <v>31</v>
      </c>
      <c r="B2" s="1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3" t="s">
        <v>37</v>
      </c>
      <c r="H2" s="83" t="s">
        <v>31</v>
      </c>
      <c r="I2" s="1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3" t="s">
        <v>37</v>
      </c>
    </row>
    <row r="3" spans="1:14" ht="16" x14ac:dyDescent="0.25">
      <c r="A3" s="84"/>
      <c r="B3" s="4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6" t="s">
        <v>43</v>
      </c>
      <c r="H3" s="84"/>
      <c r="I3" s="4" t="s">
        <v>38</v>
      </c>
      <c r="J3" s="5" t="s">
        <v>39</v>
      </c>
      <c r="K3" s="5" t="s">
        <v>40</v>
      </c>
      <c r="L3" s="5" t="s">
        <v>41</v>
      </c>
      <c r="M3" s="5" t="s">
        <v>42</v>
      </c>
      <c r="N3" s="6" t="s">
        <v>43</v>
      </c>
    </row>
    <row r="4" spans="1:14" x14ac:dyDescent="0.2">
      <c r="A4" s="7" t="s">
        <v>44</v>
      </c>
      <c r="B4" s="8">
        <v>6.3023469410836697E-3</v>
      </c>
      <c r="C4" s="9">
        <v>100000</v>
      </c>
      <c r="D4" s="9">
        <v>630.23468017578125</v>
      </c>
      <c r="E4" s="9">
        <v>99448.546875</v>
      </c>
      <c r="F4" s="9">
        <v>7610075</v>
      </c>
      <c r="G4" s="10">
        <v>76.100753784179688</v>
      </c>
      <c r="H4" s="7" t="s">
        <v>44</v>
      </c>
      <c r="I4" s="18">
        <v>5.2264290861785412E-3</v>
      </c>
      <c r="J4" s="9">
        <v>100000</v>
      </c>
      <c r="K4" s="9">
        <v>522.64288330078125</v>
      </c>
      <c r="L4" s="9">
        <v>99540.6015625</v>
      </c>
      <c r="M4" s="9">
        <v>8110474.5</v>
      </c>
      <c r="N4" s="20">
        <v>81.104743957519531</v>
      </c>
    </row>
    <row r="5" spans="1:14" x14ac:dyDescent="0.2">
      <c r="A5" s="11" t="s">
        <v>45</v>
      </c>
      <c r="B5" s="8">
        <v>4.2268639663234353E-4</v>
      </c>
      <c r="C5" s="9">
        <v>99369.765625</v>
      </c>
      <c r="D5" s="9">
        <v>42.002246856689453</v>
      </c>
      <c r="E5" s="9">
        <v>99348.765625</v>
      </c>
      <c r="F5" s="9">
        <v>7510626.5</v>
      </c>
      <c r="G5" s="12">
        <v>75.582611083984375</v>
      </c>
      <c r="H5" s="11" t="s">
        <v>45</v>
      </c>
      <c r="I5" s="18">
        <v>3.3906285534612834E-4</v>
      </c>
      <c r="J5" s="9">
        <v>99477.359375</v>
      </c>
      <c r="K5" s="9">
        <v>33.729076385498047</v>
      </c>
      <c r="L5" s="9">
        <v>99460.5</v>
      </c>
      <c r="M5" s="9">
        <v>8010934</v>
      </c>
      <c r="N5" s="21">
        <v>80.530220031738281</v>
      </c>
    </row>
    <row r="6" spans="1:14" x14ac:dyDescent="0.2">
      <c r="A6" s="11" t="s">
        <v>46</v>
      </c>
      <c r="B6" s="8">
        <v>2.8743533766828477E-4</v>
      </c>
      <c r="C6" s="9">
        <v>99327.765625</v>
      </c>
      <c r="D6" s="9">
        <v>28.550310134887695</v>
      </c>
      <c r="E6" s="9">
        <v>99313.4921875</v>
      </c>
      <c r="F6" s="9">
        <v>7411277.5</v>
      </c>
      <c r="G6" s="12">
        <v>74.614356994628906</v>
      </c>
      <c r="H6" s="11" t="s">
        <v>46</v>
      </c>
      <c r="I6" s="18">
        <v>2.0753819262608886E-4</v>
      </c>
      <c r="J6" s="9">
        <v>99443.6328125</v>
      </c>
      <c r="K6" s="9">
        <v>20.638351440429688</v>
      </c>
      <c r="L6" s="9">
        <v>99433.3125</v>
      </c>
      <c r="M6" s="9">
        <v>7911473.5</v>
      </c>
      <c r="N6" s="21">
        <v>79.557365417480469</v>
      </c>
    </row>
    <row r="7" spans="1:14" x14ac:dyDescent="0.2">
      <c r="A7" s="11" t="s">
        <v>47</v>
      </c>
      <c r="B7" s="8">
        <v>2.2494496079161763E-4</v>
      </c>
      <c r="C7" s="9">
        <v>99299.21875</v>
      </c>
      <c r="D7" s="9">
        <v>22.336858749389648</v>
      </c>
      <c r="E7" s="9">
        <v>99288.046875</v>
      </c>
      <c r="F7" s="9">
        <v>7311964</v>
      </c>
      <c r="G7" s="12">
        <v>73.635665893554688</v>
      </c>
      <c r="H7" s="11" t="s">
        <v>47</v>
      </c>
      <c r="I7" s="18">
        <v>1.592152111697942E-4</v>
      </c>
      <c r="J7" s="9">
        <v>99422.9921875</v>
      </c>
      <c r="K7" s="9">
        <v>15.829652786254883</v>
      </c>
      <c r="L7" s="9">
        <v>99415.078125</v>
      </c>
      <c r="M7" s="9">
        <v>7812040</v>
      </c>
      <c r="N7" s="21">
        <v>78.573776245117188</v>
      </c>
    </row>
    <row r="8" spans="1:14" x14ac:dyDescent="0.2">
      <c r="A8" s="11" t="s">
        <v>48</v>
      </c>
      <c r="B8" s="8">
        <v>1.5816476661711931E-4</v>
      </c>
      <c r="C8" s="9">
        <v>99276.8828125</v>
      </c>
      <c r="D8" s="9">
        <v>15.702104568481445</v>
      </c>
      <c r="E8" s="9">
        <v>99269.03125</v>
      </c>
      <c r="F8" s="9">
        <v>7212676</v>
      </c>
      <c r="G8" s="12">
        <v>72.652122497558594</v>
      </c>
      <c r="H8" s="11" t="s">
        <v>48</v>
      </c>
      <c r="I8" s="18">
        <v>1.3885405496694148E-4</v>
      </c>
      <c r="J8" s="9">
        <v>99407.1640625</v>
      </c>
      <c r="K8" s="9">
        <v>13.803088188171387</v>
      </c>
      <c r="L8" s="9">
        <v>99400.265625</v>
      </c>
      <c r="M8" s="9">
        <v>7712625</v>
      </c>
      <c r="N8" s="21">
        <v>77.586212158203125</v>
      </c>
    </row>
    <row r="9" spans="1:14" x14ac:dyDescent="0.2">
      <c r="A9" s="11" t="s">
        <v>49</v>
      </c>
      <c r="B9" s="8">
        <v>1.5554059064015746E-4</v>
      </c>
      <c r="C9" s="9">
        <v>99261.1796875</v>
      </c>
      <c r="D9" s="9">
        <v>15.439142227172852</v>
      </c>
      <c r="E9" s="9">
        <v>99253.4609375</v>
      </c>
      <c r="F9" s="9">
        <v>7113407</v>
      </c>
      <c r="G9" s="12">
        <v>71.663536071777344</v>
      </c>
      <c r="H9" s="11" t="s">
        <v>49</v>
      </c>
      <c r="I9" s="18">
        <v>1.2557220179587603E-4</v>
      </c>
      <c r="J9" s="9">
        <v>99393.359375</v>
      </c>
      <c r="K9" s="9">
        <v>12.481042861938477</v>
      </c>
      <c r="L9" s="9">
        <v>99387.1171875</v>
      </c>
      <c r="M9" s="9">
        <v>7613225</v>
      </c>
      <c r="N9" s="21">
        <v>76.596916198730469</v>
      </c>
    </row>
    <row r="10" spans="1:14" x14ac:dyDescent="0.2">
      <c r="A10" s="11" t="s">
        <v>50</v>
      </c>
      <c r="B10" s="8">
        <v>1.3845614739693701E-4</v>
      </c>
      <c r="C10" s="9">
        <v>99245.7421875</v>
      </c>
      <c r="D10" s="9">
        <v>13.741183280944824</v>
      </c>
      <c r="E10" s="9">
        <v>99238.875</v>
      </c>
      <c r="F10" s="9">
        <v>7014153.5</v>
      </c>
      <c r="G10" s="12">
        <v>70.674606323242188</v>
      </c>
      <c r="H10" s="11" t="s">
        <v>50</v>
      </c>
      <c r="I10" s="18">
        <v>1.1295814329059795E-4</v>
      </c>
      <c r="J10" s="9">
        <v>99380.875</v>
      </c>
      <c r="K10" s="9">
        <v>11.225878715515137</v>
      </c>
      <c r="L10" s="9">
        <v>99375.265625</v>
      </c>
      <c r="M10" s="9">
        <v>7513837.5</v>
      </c>
      <c r="N10" s="21">
        <v>75.606475830078125</v>
      </c>
    </row>
    <row r="11" spans="1:14" x14ac:dyDescent="0.2">
      <c r="A11" s="11" t="s">
        <v>51</v>
      </c>
      <c r="B11" s="8">
        <v>1.2436427641659975E-4</v>
      </c>
      <c r="C11" s="9">
        <v>99232</v>
      </c>
      <c r="D11" s="9">
        <v>12.340915679931641</v>
      </c>
      <c r="E11" s="9">
        <v>99225.828125</v>
      </c>
      <c r="F11" s="9">
        <v>6914914.5</v>
      </c>
      <c r="G11" s="12">
        <v>69.684318542480469</v>
      </c>
      <c r="H11" s="11" t="s">
        <v>51</v>
      </c>
      <c r="I11" s="18">
        <v>1.0362247849116102E-4</v>
      </c>
      <c r="J11" s="9">
        <v>99369.6484375</v>
      </c>
      <c r="K11" s="9">
        <v>10.296929359436035</v>
      </c>
      <c r="L11" s="9">
        <v>99364.5</v>
      </c>
      <c r="M11" s="9">
        <v>7414462.5</v>
      </c>
      <c r="N11" s="21">
        <v>74.614959716796875</v>
      </c>
    </row>
    <row r="12" spans="1:14" x14ac:dyDescent="0.2">
      <c r="A12" s="11" t="s">
        <v>52</v>
      </c>
      <c r="B12" s="8">
        <v>1.1041062680305913E-4</v>
      </c>
      <c r="C12" s="9">
        <v>99219.65625</v>
      </c>
      <c r="D12" s="9">
        <v>10.954904556274414</v>
      </c>
      <c r="E12" s="9">
        <v>99214.1796875</v>
      </c>
      <c r="F12" s="9">
        <v>6815689</v>
      </c>
      <c r="G12" s="12">
        <v>68.69293212890625</v>
      </c>
      <c r="H12" s="11" t="s">
        <v>52</v>
      </c>
      <c r="I12" s="18">
        <v>9.6691532235126942E-5</v>
      </c>
      <c r="J12" s="9">
        <v>99359.3515625</v>
      </c>
      <c r="K12" s="9">
        <v>9.607208251953125</v>
      </c>
      <c r="L12" s="9">
        <v>99354.546875</v>
      </c>
      <c r="M12" s="9">
        <v>7315098</v>
      </c>
      <c r="N12" s="21">
        <v>73.622642517089844</v>
      </c>
    </row>
    <row r="13" spans="1:14" x14ac:dyDescent="0.2">
      <c r="A13" s="11" t="s">
        <v>53</v>
      </c>
      <c r="B13" s="8">
        <v>9.8203672678209841E-5</v>
      </c>
      <c r="C13" s="9">
        <v>99208.703125</v>
      </c>
      <c r="D13" s="9">
        <v>9.7426586151123047</v>
      </c>
      <c r="E13" s="9">
        <v>99203.828125</v>
      </c>
      <c r="F13" s="9">
        <v>6716474.5</v>
      </c>
      <c r="G13" s="12">
        <v>67.700454711914062</v>
      </c>
      <c r="H13" s="11" t="s">
        <v>53</v>
      </c>
      <c r="I13" s="18">
        <v>9.2378773842938244E-5</v>
      </c>
      <c r="J13" s="9">
        <v>99349.7421875</v>
      </c>
      <c r="K13" s="9">
        <v>9.1778078079223633</v>
      </c>
      <c r="L13" s="9">
        <v>99345.15625</v>
      </c>
      <c r="M13" s="9">
        <v>7215743.5</v>
      </c>
      <c r="N13" s="21">
        <v>72.629714965820312</v>
      </c>
    </row>
    <row r="14" spans="1:14" x14ac:dyDescent="0.2">
      <c r="A14" s="11" t="s">
        <v>54</v>
      </c>
      <c r="B14" s="8">
        <v>9.3976806965656579E-5</v>
      </c>
      <c r="C14" s="9">
        <v>99198.9609375</v>
      </c>
      <c r="D14" s="9">
        <v>9.3224020004272461</v>
      </c>
      <c r="E14" s="9">
        <v>99194.296875</v>
      </c>
      <c r="F14" s="9">
        <v>6617271</v>
      </c>
      <c r="G14" s="12">
        <v>66.707061767578125</v>
      </c>
      <c r="H14" s="11" t="s">
        <v>54</v>
      </c>
      <c r="I14" s="18">
        <v>9.2018555733375251E-5</v>
      </c>
      <c r="J14" s="9">
        <v>99340.5625</v>
      </c>
      <c r="K14" s="9">
        <v>9.1411752700805664</v>
      </c>
      <c r="L14" s="9">
        <v>99335.9921875</v>
      </c>
      <c r="M14" s="9">
        <v>7116398</v>
      </c>
      <c r="N14" s="21">
        <v>71.636375427246094</v>
      </c>
    </row>
    <row r="15" spans="1:14" x14ac:dyDescent="0.2">
      <c r="A15" s="11" t="s">
        <v>55</v>
      </c>
      <c r="B15" s="8">
        <v>1.0786124767037109E-4</v>
      </c>
      <c r="C15" s="9">
        <v>99189.640625</v>
      </c>
      <c r="D15" s="9">
        <v>10.698718070983887</v>
      </c>
      <c r="E15" s="9">
        <v>99184.296875</v>
      </c>
      <c r="F15" s="9">
        <v>6518076.5</v>
      </c>
      <c r="G15" s="12">
        <v>65.713279724121094</v>
      </c>
      <c r="H15" s="11" t="s">
        <v>55</v>
      </c>
      <c r="I15" s="18">
        <v>9.789587784325704E-5</v>
      </c>
      <c r="J15" s="9">
        <v>99331.421875</v>
      </c>
      <c r="K15" s="9">
        <v>9.7241363525390625</v>
      </c>
      <c r="L15" s="9">
        <v>99326.5625</v>
      </c>
      <c r="M15" s="9">
        <v>7017062</v>
      </c>
      <c r="N15" s="21">
        <v>70.642921447753906</v>
      </c>
    </row>
    <row r="16" spans="1:14" x14ac:dyDescent="0.2">
      <c r="A16" s="11" t="s">
        <v>56</v>
      </c>
      <c r="B16" s="8">
        <v>1.5155704750213772E-4</v>
      </c>
      <c r="C16" s="9">
        <v>99178.9453125</v>
      </c>
      <c r="D16" s="9">
        <v>15.031268119812012</v>
      </c>
      <c r="E16" s="9">
        <v>99171.4296875</v>
      </c>
      <c r="F16" s="9">
        <v>6418892.5</v>
      </c>
      <c r="G16" s="12">
        <v>64.720314025878906</v>
      </c>
      <c r="H16" s="11" t="s">
        <v>56</v>
      </c>
      <c r="I16" s="18">
        <v>1.1269428068771958E-4</v>
      </c>
      <c r="J16" s="9">
        <v>99321.6953125</v>
      </c>
      <c r="K16" s="9">
        <v>11.192987442016602</v>
      </c>
      <c r="L16" s="9">
        <v>99316.09375</v>
      </c>
      <c r="M16" s="9">
        <v>6917735.5</v>
      </c>
      <c r="N16" s="21">
        <v>69.649795532226562</v>
      </c>
    </row>
    <row r="17" spans="1:14" x14ac:dyDescent="0.2">
      <c r="A17" s="11" t="s">
        <v>57</v>
      </c>
      <c r="B17" s="8">
        <v>2.3189505736809224E-4</v>
      </c>
      <c r="C17" s="9">
        <v>99163.9140625</v>
      </c>
      <c r="D17" s="9">
        <v>22.995620727539062</v>
      </c>
      <c r="E17" s="9">
        <v>99152.421875</v>
      </c>
      <c r="F17" s="9">
        <v>6319721</v>
      </c>
      <c r="G17" s="12">
        <v>63.730049133300781</v>
      </c>
      <c r="H17" s="11" t="s">
        <v>57</v>
      </c>
      <c r="I17" s="18">
        <v>1.3793694961350411E-4</v>
      </c>
      <c r="J17" s="9">
        <v>99310.5</v>
      </c>
      <c r="K17" s="9">
        <v>13.698587417602539</v>
      </c>
      <c r="L17" s="9">
        <v>99303.65625</v>
      </c>
      <c r="M17" s="9">
        <v>6818419.5</v>
      </c>
      <c r="N17" s="21">
        <v>68.6575927734375</v>
      </c>
    </row>
    <row r="18" spans="1:14" x14ac:dyDescent="0.2">
      <c r="A18" s="11" t="s">
        <v>58</v>
      </c>
      <c r="B18" s="8">
        <v>3.4138996852561831E-4</v>
      </c>
      <c r="C18" s="9">
        <v>99140.921875</v>
      </c>
      <c r="D18" s="9">
        <v>33.845714569091797</v>
      </c>
      <c r="E18" s="9">
        <v>99124</v>
      </c>
      <c r="F18" s="9">
        <v>6220568.5</v>
      </c>
      <c r="G18" s="12">
        <v>62.744712829589844</v>
      </c>
      <c r="H18" s="11" t="s">
        <v>58</v>
      </c>
      <c r="I18" s="18">
        <v>1.7166299221571535E-4</v>
      </c>
      <c r="J18" s="9">
        <v>99296.8046875</v>
      </c>
      <c r="K18" s="9">
        <v>17.045587539672852</v>
      </c>
      <c r="L18" s="9">
        <v>99288.28125</v>
      </c>
      <c r="M18" s="9">
        <v>6719116</v>
      </c>
      <c r="N18" s="21">
        <v>67.6669921875</v>
      </c>
    </row>
    <row r="19" spans="1:14" x14ac:dyDescent="0.2">
      <c r="A19" s="11" t="s">
        <v>59</v>
      </c>
      <c r="B19" s="8">
        <v>4.61328134406358E-4</v>
      </c>
      <c r="C19" s="9">
        <v>99107.078125</v>
      </c>
      <c r="D19" s="9">
        <v>45.720882415771484</v>
      </c>
      <c r="E19" s="9">
        <v>99084.21875</v>
      </c>
      <c r="F19" s="9">
        <v>6121444.5</v>
      </c>
      <c r="G19" s="12">
        <v>61.765968322753906</v>
      </c>
      <c r="H19" s="11" t="s">
        <v>59</v>
      </c>
      <c r="I19" s="18">
        <v>2.0998850231990218E-4</v>
      </c>
      <c r="J19" s="9">
        <v>99279.7578125</v>
      </c>
      <c r="K19" s="9">
        <v>20.84760856628418</v>
      </c>
      <c r="L19" s="9">
        <v>99269.3359375</v>
      </c>
      <c r="M19" s="9">
        <v>6619827.5</v>
      </c>
      <c r="N19" s="21">
        <v>66.678520202636719</v>
      </c>
    </row>
    <row r="20" spans="1:14" x14ac:dyDescent="0.2">
      <c r="A20" s="11" t="s">
        <v>60</v>
      </c>
      <c r="B20" s="8">
        <v>5.8416114188730717E-4</v>
      </c>
      <c r="C20" s="9">
        <v>99061.359375</v>
      </c>
      <c r="D20" s="9">
        <v>57.8677978515625</v>
      </c>
      <c r="E20" s="9">
        <v>99032.421875</v>
      </c>
      <c r="F20" s="9">
        <v>6022360</v>
      </c>
      <c r="G20" s="12">
        <v>60.794239044189453</v>
      </c>
      <c r="H20" s="11" t="s">
        <v>60</v>
      </c>
      <c r="I20" s="18">
        <v>2.5020970497280359E-4</v>
      </c>
      <c r="J20" s="9">
        <v>99258.9140625</v>
      </c>
      <c r="K20" s="9">
        <v>24.835542678833008</v>
      </c>
      <c r="L20" s="9">
        <v>99246.5</v>
      </c>
      <c r="M20" s="9">
        <v>6520558.5</v>
      </c>
      <c r="N20" s="21">
        <v>65.692420959472656</v>
      </c>
    </row>
    <row r="21" spans="1:14" x14ac:dyDescent="0.2">
      <c r="A21" s="11" t="s">
        <v>61</v>
      </c>
      <c r="B21" s="8">
        <v>7.1757868863642216E-4</v>
      </c>
      <c r="C21" s="9">
        <v>99003.4921875</v>
      </c>
      <c r="D21" s="9">
        <v>71.042793273925781</v>
      </c>
      <c r="E21" s="9">
        <v>98967.96875</v>
      </c>
      <c r="F21" s="9">
        <v>5923328</v>
      </c>
      <c r="G21" s="12">
        <v>59.829486846923828</v>
      </c>
      <c r="H21" s="11" t="s">
        <v>61</v>
      </c>
      <c r="I21" s="18">
        <v>2.9255016124807298E-4</v>
      </c>
      <c r="J21" s="9">
        <v>99234.078125</v>
      </c>
      <c r="K21" s="9">
        <v>29.03094482421875</v>
      </c>
      <c r="L21" s="9">
        <v>99219.5625</v>
      </c>
      <c r="M21" s="9">
        <v>6421312</v>
      </c>
      <c r="N21" s="21">
        <v>64.708740234375</v>
      </c>
    </row>
    <row r="22" spans="1:14" x14ac:dyDescent="0.2">
      <c r="A22" s="11" t="s">
        <v>62</v>
      </c>
      <c r="B22" s="8">
        <v>8.5859786486253142E-4</v>
      </c>
      <c r="C22" s="9">
        <v>98932.453125</v>
      </c>
      <c r="D22" s="9">
        <v>84.943191528320312</v>
      </c>
      <c r="E22" s="9">
        <v>98889.984375</v>
      </c>
      <c r="F22" s="9">
        <v>5824360</v>
      </c>
      <c r="G22" s="12">
        <v>58.872085571289062</v>
      </c>
      <c r="H22" s="11" t="s">
        <v>62</v>
      </c>
      <c r="I22" s="18">
        <v>3.3566230558790267E-4</v>
      </c>
      <c r="J22" s="9">
        <v>99205.046875</v>
      </c>
      <c r="K22" s="9">
        <v>33.299396514892578</v>
      </c>
      <c r="L22" s="9">
        <v>99188.3984375</v>
      </c>
      <c r="M22" s="9">
        <v>6322092</v>
      </c>
      <c r="N22" s="21">
        <v>63.727523803710938</v>
      </c>
    </row>
    <row r="23" spans="1:14" x14ac:dyDescent="0.2">
      <c r="A23" s="11" t="s">
        <v>63</v>
      </c>
      <c r="B23" s="8">
        <v>1.0014867875725031E-3</v>
      </c>
      <c r="C23" s="9">
        <v>98847.5078125</v>
      </c>
      <c r="D23" s="9">
        <v>98.994476318359375</v>
      </c>
      <c r="E23" s="9">
        <v>98798.015625</v>
      </c>
      <c r="F23" s="9">
        <v>5725470</v>
      </c>
      <c r="G23" s="12">
        <v>57.922248840332031</v>
      </c>
      <c r="H23" s="11" t="s">
        <v>63</v>
      </c>
      <c r="I23" s="18">
        <v>3.7903472548350692E-4</v>
      </c>
      <c r="J23" s="9">
        <v>99171.75</v>
      </c>
      <c r="K23" s="9">
        <v>37.58953857421875</v>
      </c>
      <c r="L23" s="9">
        <v>99152.953125</v>
      </c>
      <c r="M23" s="9">
        <v>6222904</v>
      </c>
      <c r="N23" s="21">
        <v>62.748756408691406</v>
      </c>
    </row>
    <row r="24" spans="1:14" x14ac:dyDescent="0.2">
      <c r="A24" s="11" t="s">
        <v>64</v>
      </c>
      <c r="B24" s="8">
        <v>1.1470711324363947E-3</v>
      </c>
      <c r="C24" s="9">
        <v>98748.515625</v>
      </c>
      <c r="D24" s="9">
        <v>113.27156829833984</v>
      </c>
      <c r="E24" s="9">
        <v>98691.875</v>
      </c>
      <c r="F24" s="9">
        <v>5626672</v>
      </c>
      <c r="G24" s="12">
        <v>56.979812622070312</v>
      </c>
      <c r="H24" s="11" t="s">
        <v>64</v>
      </c>
      <c r="I24" s="18">
        <v>4.244505544193089E-4</v>
      </c>
      <c r="J24" s="9">
        <v>99134.1640625</v>
      </c>
      <c r="K24" s="9">
        <v>42.077552795410156</v>
      </c>
      <c r="L24" s="9">
        <v>99113.125</v>
      </c>
      <c r="M24" s="9">
        <v>6123751</v>
      </c>
      <c r="N24" s="21">
        <v>61.772357940673828</v>
      </c>
    </row>
    <row r="25" spans="1:14" x14ac:dyDescent="0.2">
      <c r="A25" s="11" t="s">
        <v>65</v>
      </c>
      <c r="B25" s="8">
        <v>1.2859423877671361E-3</v>
      </c>
      <c r="C25" s="9">
        <v>98635.2421875</v>
      </c>
      <c r="D25" s="9">
        <v>126.83924102783203</v>
      </c>
      <c r="E25" s="9">
        <v>98571.828125</v>
      </c>
      <c r="F25" s="9">
        <v>5527980</v>
      </c>
      <c r="G25" s="12">
        <v>56.044673919677734</v>
      </c>
      <c r="H25" s="11" t="s">
        <v>65</v>
      </c>
      <c r="I25" s="18">
        <v>4.7057535266503692E-4</v>
      </c>
      <c r="J25" s="9">
        <v>99092.0859375</v>
      </c>
      <c r="K25" s="9">
        <v>46.630294799804688</v>
      </c>
      <c r="L25" s="9">
        <v>99068.765625</v>
      </c>
      <c r="M25" s="9">
        <v>6024637.5</v>
      </c>
      <c r="N25" s="21">
        <v>60.798370361328125</v>
      </c>
    </row>
    <row r="26" spans="1:14" x14ac:dyDescent="0.2">
      <c r="A26" s="11" t="s">
        <v>66</v>
      </c>
      <c r="B26" s="8">
        <v>1.4028329169377685E-3</v>
      </c>
      <c r="C26" s="9">
        <v>98508.40625</v>
      </c>
      <c r="D26" s="9">
        <v>138.19084167480469</v>
      </c>
      <c r="E26" s="9">
        <v>98439.3125</v>
      </c>
      <c r="F26" s="9">
        <v>5429408</v>
      </c>
      <c r="G26" s="12">
        <v>55.116188049316406</v>
      </c>
      <c r="H26" s="11" t="s">
        <v>66</v>
      </c>
      <c r="I26" s="18">
        <v>5.1309901755303144E-4</v>
      </c>
      <c r="J26" s="9">
        <v>99045.453125</v>
      </c>
      <c r="K26" s="9">
        <v>50.820125579833984</v>
      </c>
      <c r="L26" s="9">
        <v>99020.046875</v>
      </c>
      <c r="M26" s="9">
        <v>5925569</v>
      </c>
      <c r="N26" s="21">
        <v>59.826763153076172</v>
      </c>
    </row>
    <row r="27" spans="1:14" x14ac:dyDescent="0.2">
      <c r="A27" s="11" t="s">
        <v>67</v>
      </c>
      <c r="B27" s="8">
        <v>1.4899933012202382E-3</v>
      </c>
      <c r="C27" s="9">
        <v>98370.21875</v>
      </c>
      <c r="D27" s="9">
        <v>146.57096862792969</v>
      </c>
      <c r="E27" s="9">
        <v>98296.9375</v>
      </c>
      <c r="F27" s="9">
        <v>5330969</v>
      </c>
      <c r="G27" s="12">
        <v>54.192916870117188</v>
      </c>
      <c r="H27" s="11" t="s">
        <v>67</v>
      </c>
      <c r="I27" s="18">
        <v>5.4998509585857391E-4</v>
      </c>
      <c r="J27" s="9">
        <v>98994.6328125</v>
      </c>
      <c r="K27" s="9">
        <v>54.445571899414062</v>
      </c>
      <c r="L27" s="9">
        <v>98967.40625</v>
      </c>
      <c r="M27" s="9">
        <v>5826549</v>
      </c>
      <c r="N27" s="21">
        <v>58.857219696044922</v>
      </c>
    </row>
    <row r="28" spans="1:14" x14ac:dyDescent="0.2">
      <c r="A28" s="11" t="s">
        <v>68</v>
      </c>
      <c r="B28" s="8">
        <v>1.5538185834884644E-3</v>
      </c>
      <c r="C28" s="9">
        <v>98223.6484375</v>
      </c>
      <c r="D28" s="9">
        <v>152.62173461914062</v>
      </c>
      <c r="E28" s="9">
        <v>98147.3359375</v>
      </c>
      <c r="F28" s="9">
        <v>5232672</v>
      </c>
      <c r="G28" s="12">
        <v>53.273036956787109</v>
      </c>
      <c r="H28" s="11" t="s">
        <v>68</v>
      </c>
      <c r="I28" s="18">
        <v>5.8267998974770308E-4</v>
      </c>
      <c r="J28" s="9">
        <v>98940.1875</v>
      </c>
      <c r="K28" s="9">
        <v>57.650466918945312</v>
      </c>
      <c r="L28" s="9">
        <v>98911.359375</v>
      </c>
      <c r="M28" s="9">
        <v>5727581.5</v>
      </c>
      <c r="N28" s="21">
        <v>57.889331817626953</v>
      </c>
    </row>
    <row r="29" spans="1:14" x14ac:dyDescent="0.2">
      <c r="A29" s="11" t="s">
        <v>69</v>
      </c>
      <c r="B29" s="8">
        <v>1.609192113392055E-3</v>
      </c>
      <c r="C29" s="9">
        <v>98071.0234375</v>
      </c>
      <c r="D29" s="9">
        <v>157.81512451171875</v>
      </c>
      <c r="E29" s="9">
        <v>97992.1171875</v>
      </c>
      <c r="F29" s="9">
        <v>5134524.5</v>
      </c>
      <c r="G29" s="12">
        <v>52.35516357421875</v>
      </c>
      <c r="H29" s="11" t="s">
        <v>69</v>
      </c>
      <c r="I29" s="18">
        <v>6.1345921130850911E-4</v>
      </c>
      <c r="J29" s="9">
        <v>98882.5390625</v>
      </c>
      <c r="K29" s="9">
        <v>60.660404205322266</v>
      </c>
      <c r="L29" s="9">
        <v>98852.203125</v>
      </c>
      <c r="M29" s="9">
        <v>5628670</v>
      </c>
      <c r="N29" s="21">
        <v>56.92279052734375</v>
      </c>
    </row>
    <row r="30" spans="1:14" x14ac:dyDescent="0.2">
      <c r="A30" s="11" t="s">
        <v>70</v>
      </c>
      <c r="B30" s="8">
        <v>1.6636601649224758E-3</v>
      </c>
      <c r="C30" s="9">
        <v>97913.2109375</v>
      </c>
      <c r="D30" s="9">
        <v>162.89430236816406</v>
      </c>
      <c r="E30" s="9">
        <v>97831.765625</v>
      </c>
      <c r="F30" s="9">
        <v>5036532.5</v>
      </c>
      <c r="G30" s="12">
        <v>51.438743591308594</v>
      </c>
      <c r="H30" s="11" t="s">
        <v>70</v>
      </c>
      <c r="I30" s="18">
        <v>6.4568896777927876E-4</v>
      </c>
      <c r="J30" s="9">
        <v>98821.875</v>
      </c>
      <c r="K30" s="9">
        <v>63.808193206787109</v>
      </c>
      <c r="L30" s="9">
        <v>98789.96875</v>
      </c>
      <c r="M30" s="9">
        <v>5529818</v>
      </c>
      <c r="N30" s="21">
        <v>55.957427978515625</v>
      </c>
    </row>
    <row r="31" spans="1:14" x14ac:dyDescent="0.2">
      <c r="A31" s="11" t="s">
        <v>71</v>
      </c>
      <c r="B31" s="8">
        <v>1.71330024022609E-3</v>
      </c>
      <c r="C31" s="9">
        <v>97750.3203125</v>
      </c>
      <c r="D31" s="9">
        <v>167.47564697265625</v>
      </c>
      <c r="E31" s="9">
        <v>97666.578125</v>
      </c>
      <c r="F31" s="9">
        <v>4938700.5</v>
      </c>
      <c r="G31" s="12">
        <v>50.523624420166016</v>
      </c>
      <c r="H31" s="11" t="s">
        <v>71</v>
      </c>
      <c r="I31" s="18">
        <v>6.8173068575561047E-4</v>
      </c>
      <c r="J31" s="9">
        <v>98758.0703125</v>
      </c>
      <c r="K31" s="9">
        <v>67.326408386230469</v>
      </c>
      <c r="L31" s="9">
        <v>98724.40625</v>
      </c>
      <c r="M31" s="9">
        <v>5431028</v>
      </c>
      <c r="N31" s="21">
        <v>54.993259429931641</v>
      </c>
    </row>
    <row r="32" spans="1:14" x14ac:dyDescent="0.2">
      <c r="A32" s="11" t="s">
        <v>72</v>
      </c>
      <c r="B32" s="8">
        <v>1.7615470569580793E-3</v>
      </c>
      <c r="C32" s="9">
        <v>97582.84375</v>
      </c>
      <c r="D32" s="9">
        <v>171.89677429199219</v>
      </c>
      <c r="E32" s="9">
        <v>97496.890625</v>
      </c>
      <c r="F32" s="9">
        <v>4841034</v>
      </c>
      <c r="G32" s="12">
        <v>49.609477996826172</v>
      </c>
      <c r="H32" s="11" t="s">
        <v>72</v>
      </c>
      <c r="I32" s="18">
        <v>7.2449375875294209E-4</v>
      </c>
      <c r="J32" s="9">
        <v>98690.7421875</v>
      </c>
      <c r="K32" s="9">
        <v>71.500823974609375</v>
      </c>
      <c r="L32" s="9">
        <v>98654.9921875</v>
      </c>
      <c r="M32" s="9">
        <v>5332303.5</v>
      </c>
      <c r="N32" s="21">
        <v>54.030433654785156</v>
      </c>
    </row>
    <row r="33" spans="1:14" x14ac:dyDescent="0.2">
      <c r="A33" s="11" t="s">
        <v>73</v>
      </c>
      <c r="B33" s="8">
        <v>1.81030691601336E-3</v>
      </c>
      <c r="C33" s="9">
        <v>97410.9453125</v>
      </c>
      <c r="D33" s="9">
        <v>176.34370422363281</v>
      </c>
      <c r="E33" s="9">
        <v>97322.7734375</v>
      </c>
      <c r="F33" s="9">
        <v>4743537</v>
      </c>
      <c r="G33" s="12">
        <v>48.696140289306641</v>
      </c>
      <c r="H33" s="11" t="s">
        <v>73</v>
      </c>
      <c r="I33" s="18">
        <v>7.7376619447022676E-4</v>
      </c>
      <c r="J33" s="9">
        <v>98619.2421875</v>
      </c>
      <c r="K33" s="9">
        <v>76.308235168457031</v>
      </c>
      <c r="L33" s="9">
        <v>98581.09375</v>
      </c>
      <c r="M33" s="9">
        <v>5233648.5</v>
      </c>
      <c r="N33" s="21">
        <v>53.069244384765625</v>
      </c>
    </row>
    <row r="34" spans="1:14" x14ac:dyDescent="0.2">
      <c r="A34" s="11" t="s">
        <v>74</v>
      </c>
      <c r="B34" s="8">
        <v>1.8587581580504775E-3</v>
      </c>
      <c r="C34" s="9">
        <v>97234.6015625</v>
      </c>
      <c r="D34" s="9">
        <v>180.73561096191406</v>
      </c>
      <c r="E34" s="9">
        <v>97144.234375</v>
      </c>
      <c r="F34" s="9">
        <v>4646214.5</v>
      </c>
      <c r="G34" s="12">
        <v>47.783550262451172</v>
      </c>
      <c r="H34" s="11" t="s">
        <v>74</v>
      </c>
      <c r="I34" s="18">
        <v>8.2845939323306084E-4</v>
      </c>
      <c r="J34" s="9">
        <v>98542.9375</v>
      </c>
      <c r="K34" s="9">
        <v>81.638824462890625</v>
      </c>
      <c r="L34" s="9">
        <v>98502.1171875</v>
      </c>
      <c r="M34" s="9">
        <v>5135067.5</v>
      </c>
      <c r="N34" s="21">
        <v>52.109951019287109</v>
      </c>
    </row>
    <row r="35" spans="1:14" x14ac:dyDescent="0.2">
      <c r="A35" s="11" t="s">
        <v>75</v>
      </c>
      <c r="B35" s="8">
        <v>1.9074579467996955E-3</v>
      </c>
      <c r="C35" s="9">
        <v>97053.8671875</v>
      </c>
      <c r="D35" s="9">
        <v>185.12617492675781</v>
      </c>
      <c r="E35" s="9">
        <v>96961.3046875</v>
      </c>
      <c r="F35" s="9">
        <v>4549070</v>
      </c>
      <c r="G35" s="12">
        <v>46.871601104736328</v>
      </c>
      <c r="H35" s="11" t="s">
        <v>75</v>
      </c>
      <c r="I35" s="18">
        <v>8.8473310461267829E-4</v>
      </c>
      <c r="J35" s="9">
        <v>98461.296875</v>
      </c>
      <c r="K35" s="9">
        <v>87.111968994140625</v>
      </c>
      <c r="L35" s="9">
        <v>98417.7421875</v>
      </c>
      <c r="M35" s="9">
        <v>5036565.5</v>
      </c>
      <c r="N35" s="21">
        <v>51.152744293212891</v>
      </c>
    </row>
    <row r="36" spans="1:14" x14ac:dyDescent="0.2">
      <c r="A36" s="11" t="s">
        <v>76</v>
      </c>
      <c r="B36" s="8">
        <v>1.9591974560171366E-3</v>
      </c>
      <c r="C36" s="9">
        <v>96868.7421875</v>
      </c>
      <c r="D36" s="9">
        <v>189.78498840332031</v>
      </c>
      <c r="E36" s="9">
        <v>96773.8515625</v>
      </c>
      <c r="F36" s="9">
        <v>4452109</v>
      </c>
      <c r="G36" s="12">
        <v>45.960224151611328</v>
      </c>
      <c r="H36" s="11" t="s">
        <v>76</v>
      </c>
      <c r="I36" s="18">
        <v>9.3950657173991203E-4</v>
      </c>
      <c r="J36" s="9">
        <v>98374.1875</v>
      </c>
      <c r="K36" s="9">
        <v>92.423194885253906</v>
      </c>
      <c r="L36" s="9">
        <v>98327.9765625</v>
      </c>
      <c r="M36" s="9">
        <v>4938147.5</v>
      </c>
      <c r="N36" s="21">
        <v>50.197593688964844</v>
      </c>
    </row>
    <row r="37" spans="1:14" x14ac:dyDescent="0.2">
      <c r="A37" s="11" t="s">
        <v>77</v>
      </c>
      <c r="B37" s="8">
        <v>2.014129189774394E-3</v>
      </c>
      <c r="C37" s="9">
        <v>96678.9609375</v>
      </c>
      <c r="D37" s="9">
        <v>194.72392272949219</v>
      </c>
      <c r="E37" s="9">
        <v>96581.59375</v>
      </c>
      <c r="F37" s="9">
        <v>4355335</v>
      </c>
      <c r="G37" s="12">
        <v>45.049461364746094</v>
      </c>
      <c r="H37" s="11" t="s">
        <v>77</v>
      </c>
      <c r="I37" s="18">
        <v>9.8923617042601109E-4</v>
      </c>
      <c r="J37" s="9">
        <v>98281.765625</v>
      </c>
      <c r="K37" s="9">
        <v>97.223876953125</v>
      </c>
      <c r="L37" s="9">
        <v>98233.15625</v>
      </c>
      <c r="M37" s="9">
        <v>4839819.5</v>
      </c>
      <c r="N37" s="21">
        <v>49.244327545166016</v>
      </c>
    </row>
    <row r="38" spans="1:14" x14ac:dyDescent="0.2">
      <c r="A38" s="11" t="s">
        <v>78</v>
      </c>
      <c r="B38" s="8">
        <v>2.0716269500553608E-3</v>
      </c>
      <c r="C38" s="9">
        <v>96484.234375</v>
      </c>
      <c r="D38" s="9">
        <v>199.87933349609375</v>
      </c>
      <c r="E38" s="9">
        <v>96384.296875</v>
      </c>
      <c r="F38" s="9">
        <v>4258753.5</v>
      </c>
      <c r="G38" s="12">
        <v>44.139369964599609</v>
      </c>
      <c r="H38" s="11" t="s">
        <v>78</v>
      </c>
      <c r="I38" s="18">
        <v>1.0355460690334439E-3</v>
      </c>
      <c r="J38" s="9">
        <v>98184.5390625</v>
      </c>
      <c r="K38" s="9">
        <v>101.67461395263672</v>
      </c>
      <c r="L38" s="9">
        <v>98133.703125</v>
      </c>
      <c r="M38" s="9">
        <v>4741586.5</v>
      </c>
      <c r="N38" s="21">
        <v>48.292598724365234</v>
      </c>
    </row>
    <row r="39" spans="1:14" x14ac:dyDescent="0.2">
      <c r="A39" s="11" t="s">
        <v>79</v>
      </c>
      <c r="B39" s="8">
        <v>2.1390151232481003E-3</v>
      </c>
      <c r="C39" s="9">
        <v>96284.3515625</v>
      </c>
      <c r="D39" s="9">
        <v>205.95368957519531</v>
      </c>
      <c r="E39" s="9">
        <v>96181.375</v>
      </c>
      <c r="F39" s="9">
        <v>4162369.25</v>
      </c>
      <c r="G39" s="12">
        <v>43.229965209960938</v>
      </c>
      <c r="H39" s="11" t="s">
        <v>79</v>
      </c>
      <c r="I39" s="18">
        <v>1.0866472730413079E-3</v>
      </c>
      <c r="J39" s="9">
        <v>98082.8671875</v>
      </c>
      <c r="K39" s="9">
        <v>106.58148193359375</v>
      </c>
      <c r="L39" s="9">
        <v>98029.578125</v>
      </c>
      <c r="M39" s="9">
        <v>4643453</v>
      </c>
      <c r="N39" s="21">
        <v>47.342140197753906</v>
      </c>
    </row>
    <row r="40" spans="1:14" x14ac:dyDescent="0.2">
      <c r="A40" s="11" t="s">
        <v>80</v>
      </c>
      <c r="B40" s="8">
        <v>2.2113339509814978E-3</v>
      </c>
      <c r="C40" s="9">
        <v>96078.3984375</v>
      </c>
      <c r="D40" s="9">
        <v>212.46142578125</v>
      </c>
      <c r="E40" s="9">
        <v>95972.171875</v>
      </c>
      <c r="F40" s="9">
        <v>4066187.75</v>
      </c>
      <c r="G40" s="12">
        <v>42.321559906005859</v>
      </c>
      <c r="H40" s="11" t="s">
        <v>80</v>
      </c>
      <c r="I40" s="18">
        <v>1.1441981187090278E-3</v>
      </c>
      <c r="J40" s="9">
        <v>97976.2890625</v>
      </c>
      <c r="K40" s="9">
        <v>112.10428619384766</v>
      </c>
      <c r="L40" s="9">
        <v>97920.234375</v>
      </c>
      <c r="M40" s="9">
        <v>4545423</v>
      </c>
      <c r="N40" s="21">
        <v>46.393093109130859</v>
      </c>
    </row>
    <row r="41" spans="1:14" x14ac:dyDescent="0.2">
      <c r="A41" s="11" t="s">
        <v>81</v>
      </c>
      <c r="B41" s="8">
        <v>2.2768150083720684E-3</v>
      </c>
      <c r="C41" s="9">
        <v>95865.9375</v>
      </c>
      <c r="D41" s="9">
        <v>218.26901245117188</v>
      </c>
      <c r="E41" s="9">
        <v>95756.8046875</v>
      </c>
      <c r="F41" s="9">
        <v>3970215.5</v>
      </c>
      <c r="G41" s="12">
        <v>41.41424560546875</v>
      </c>
      <c r="H41" s="11" t="s">
        <v>81</v>
      </c>
      <c r="I41" s="18">
        <v>1.2029183562844992E-3</v>
      </c>
      <c r="J41" s="9">
        <v>97864.1875</v>
      </c>
      <c r="K41" s="9">
        <v>117.72262573242188</v>
      </c>
      <c r="L41" s="9">
        <v>97805.328125</v>
      </c>
      <c r="M41" s="9">
        <v>4447503</v>
      </c>
      <c r="N41" s="21">
        <v>45.445663452148438</v>
      </c>
    </row>
    <row r="42" spans="1:14" x14ac:dyDescent="0.2">
      <c r="A42" s="11" t="s">
        <v>82</v>
      </c>
      <c r="B42" s="8">
        <v>2.3329313844442368E-3</v>
      </c>
      <c r="C42" s="9">
        <v>95647.671875</v>
      </c>
      <c r="D42" s="9">
        <v>223.13945007324219</v>
      </c>
      <c r="E42" s="9">
        <v>95536.1015625</v>
      </c>
      <c r="F42" s="9">
        <v>3874458.75</v>
      </c>
      <c r="G42" s="12">
        <v>40.507610321044922</v>
      </c>
      <c r="H42" s="11" t="s">
        <v>82</v>
      </c>
      <c r="I42" s="18">
        <v>1.2640721397474408E-3</v>
      </c>
      <c r="J42" s="9">
        <v>97746.46875</v>
      </c>
      <c r="K42" s="9">
        <v>123.55858612060547</v>
      </c>
      <c r="L42" s="9">
        <v>97684.6875</v>
      </c>
      <c r="M42" s="9">
        <v>4349697.5</v>
      </c>
      <c r="N42" s="21">
        <v>44.499790191650391</v>
      </c>
    </row>
    <row r="43" spans="1:14" x14ac:dyDescent="0.2">
      <c r="A43" s="11" t="s">
        <v>83</v>
      </c>
      <c r="B43" s="8">
        <v>2.3898361250758171E-3</v>
      </c>
      <c r="C43" s="9">
        <v>95424.53125</v>
      </c>
      <c r="D43" s="9">
        <v>228.04899597167969</v>
      </c>
      <c r="E43" s="9">
        <v>95310.5078125</v>
      </c>
      <c r="F43" s="9">
        <v>3778922.75</v>
      </c>
      <c r="G43" s="12">
        <v>39.601165771484375</v>
      </c>
      <c r="H43" s="11" t="s">
        <v>83</v>
      </c>
      <c r="I43" s="18">
        <v>1.3324045576155186E-3</v>
      </c>
      <c r="J43" s="9">
        <v>97622.9140625</v>
      </c>
      <c r="K43" s="9">
        <v>130.07321166992188</v>
      </c>
      <c r="L43" s="9">
        <v>97557.875</v>
      </c>
      <c r="M43" s="9">
        <v>4252013</v>
      </c>
      <c r="N43" s="21">
        <v>43.55548095703125</v>
      </c>
    </row>
    <row r="44" spans="1:14" x14ac:dyDescent="0.2">
      <c r="A44" s="11" t="s">
        <v>84</v>
      </c>
      <c r="B44" s="8">
        <v>2.4626462254673243E-3</v>
      </c>
      <c r="C44" s="9">
        <v>95196.484375</v>
      </c>
      <c r="D44" s="9">
        <v>234.43525695800781</v>
      </c>
      <c r="E44" s="9">
        <v>95079.265625</v>
      </c>
      <c r="F44" s="9">
        <v>3683612.25</v>
      </c>
      <c r="G44" s="12">
        <v>38.694835662841797</v>
      </c>
      <c r="H44" s="11" t="s">
        <v>84</v>
      </c>
      <c r="I44" s="18">
        <v>1.4142458094283938E-3</v>
      </c>
      <c r="J44" s="9">
        <v>97492.84375</v>
      </c>
      <c r="K44" s="9">
        <v>137.87884521484375</v>
      </c>
      <c r="L44" s="9">
        <v>97423.90625</v>
      </c>
      <c r="M44" s="9">
        <v>4154455</v>
      </c>
      <c r="N44" s="21">
        <v>42.612922668457031</v>
      </c>
    </row>
    <row r="45" spans="1:14" x14ac:dyDescent="0.2">
      <c r="A45" s="11" t="s">
        <v>85</v>
      </c>
      <c r="B45" s="8">
        <v>2.5655240751802921E-3</v>
      </c>
      <c r="C45" s="9">
        <v>94962.046875</v>
      </c>
      <c r="D45" s="9">
        <v>243.62741088867188</v>
      </c>
      <c r="E45" s="9">
        <v>94840.234375</v>
      </c>
      <c r="F45" s="9">
        <v>3588533</v>
      </c>
      <c r="G45" s="12">
        <v>37.789127349853516</v>
      </c>
      <c r="H45" s="11" t="s">
        <v>85</v>
      </c>
      <c r="I45" s="18">
        <v>1.5130065148696303E-3</v>
      </c>
      <c r="J45" s="9">
        <v>97354.96875</v>
      </c>
      <c r="K45" s="9">
        <v>147.2987060546875</v>
      </c>
      <c r="L45" s="9">
        <v>97281.3203125</v>
      </c>
      <c r="M45" s="9">
        <v>4057031.25</v>
      </c>
      <c r="N45" s="21">
        <v>41.672565460205078</v>
      </c>
    </row>
    <row r="46" spans="1:14" x14ac:dyDescent="0.2">
      <c r="A46" s="11" t="s">
        <v>86</v>
      </c>
      <c r="B46" s="8">
        <v>2.7009788900613785E-3</v>
      </c>
      <c r="C46" s="9">
        <v>94718.421875</v>
      </c>
      <c r="D46" s="9">
        <v>255.83245849609375</v>
      </c>
      <c r="E46" s="9">
        <v>94590.5</v>
      </c>
      <c r="F46" s="9">
        <v>3493692.75</v>
      </c>
      <c r="G46" s="12">
        <v>36.885040283203125</v>
      </c>
      <c r="H46" s="11" t="s">
        <v>86</v>
      </c>
      <c r="I46" s="18">
        <v>1.6263265861198306E-3</v>
      </c>
      <c r="J46" s="9">
        <v>97207.671875</v>
      </c>
      <c r="K46" s="9">
        <v>158.09141540527344</v>
      </c>
      <c r="L46" s="9">
        <v>97128.625</v>
      </c>
      <c r="M46" s="9">
        <v>3959749.75</v>
      </c>
      <c r="N46" s="21">
        <v>40.734951019287109</v>
      </c>
    </row>
    <row r="47" spans="1:14" x14ac:dyDescent="0.2">
      <c r="A47" s="11" t="s">
        <v>87</v>
      </c>
      <c r="B47" s="8">
        <v>2.8696933295577765E-3</v>
      </c>
      <c r="C47" s="9">
        <v>94462.5859375</v>
      </c>
      <c r="D47" s="9">
        <v>271.07864379882812</v>
      </c>
      <c r="E47" s="9">
        <v>94327.046875</v>
      </c>
      <c r="F47" s="9">
        <v>3399102.25</v>
      </c>
      <c r="G47" s="12">
        <v>35.98358154296875</v>
      </c>
      <c r="H47" s="11" t="s">
        <v>87</v>
      </c>
      <c r="I47" s="18">
        <v>1.7503334674984217E-3</v>
      </c>
      <c r="J47" s="9">
        <v>97049.578125</v>
      </c>
      <c r="K47" s="9">
        <v>169.86912536621094</v>
      </c>
      <c r="L47" s="9">
        <v>96964.640625</v>
      </c>
      <c r="M47" s="9">
        <v>3862621.25</v>
      </c>
      <c r="N47" s="21">
        <v>39.800495147705078</v>
      </c>
    </row>
    <row r="48" spans="1:14" x14ac:dyDescent="0.2">
      <c r="A48" s="11" t="s">
        <v>88</v>
      </c>
      <c r="B48" s="8">
        <v>3.0660501215606928E-3</v>
      </c>
      <c r="C48" s="9">
        <v>94191.5078125</v>
      </c>
      <c r="D48" s="9">
        <v>288.7958984375</v>
      </c>
      <c r="E48" s="9">
        <v>94047.109375</v>
      </c>
      <c r="F48" s="9">
        <v>3304775.25</v>
      </c>
      <c r="G48" s="12">
        <v>35.085700988769531</v>
      </c>
      <c r="H48" s="11" t="s">
        <v>88</v>
      </c>
      <c r="I48" s="18">
        <v>1.8833458889275789E-3</v>
      </c>
      <c r="J48" s="9">
        <v>96879.7109375</v>
      </c>
      <c r="K48" s="9">
        <v>182.4580078125</v>
      </c>
      <c r="L48" s="9">
        <v>96788.484375</v>
      </c>
      <c r="M48" s="9">
        <v>3765656.5</v>
      </c>
      <c r="N48" s="21">
        <v>38.869403839111328</v>
      </c>
    </row>
    <row r="49" spans="1:14" x14ac:dyDescent="0.2">
      <c r="A49" s="11" t="s">
        <v>89</v>
      </c>
      <c r="B49" s="8">
        <v>3.2801120541989803E-3</v>
      </c>
      <c r="C49" s="9">
        <v>93902.7109375</v>
      </c>
      <c r="D49" s="9">
        <v>308.01141357421875</v>
      </c>
      <c r="E49" s="9">
        <v>93748.703125</v>
      </c>
      <c r="F49" s="9">
        <v>3210728</v>
      </c>
      <c r="G49" s="12">
        <v>34.192070007324219</v>
      </c>
      <c r="H49" s="11" t="s">
        <v>89</v>
      </c>
      <c r="I49" s="18">
        <v>2.0247714128345251E-3</v>
      </c>
      <c r="J49" s="9">
        <v>96697.25</v>
      </c>
      <c r="K49" s="9">
        <v>195.78982543945312</v>
      </c>
      <c r="L49" s="9">
        <v>96599.359375</v>
      </c>
      <c r="M49" s="9">
        <v>3668868</v>
      </c>
      <c r="N49" s="21">
        <v>37.941802978515625</v>
      </c>
    </row>
    <row r="50" spans="1:14" x14ac:dyDescent="0.2">
      <c r="A50" s="11" t="s">
        <v>90</v>
      </c>
      <c r="B50" s="8">
        <v>3.5201031714677811E-3</v>
      </c>
      <c r="C50" s="9">
        <v>93594.703125</v>
      </c>
      <c r="D50" s="9">
        <v>329.4630126953125</v>
      </c>
      <c r="E50" s="9">
        <v>93429.96875</v>
      </c>
      <c r="F50" s="9">
        <v>3116979.25</v>
      </c>
      <c r="G50" s="12">
        <v>33.302944183349609</v>
      </c>
      <c r="H50" s="11" t="s">
        <v>90</v>
      </c>
      <c r="I50" s="18">
        <v>2.1826105657964945E-3</v>
      </c>
      <c r="J50" s="9">
        <v>96501.4609375</v>
      </c>
      <c r="K50" s="9">
        <v>210.62510681152344</v>
      </c>
      <c r="L50" s="9">
        <v>96396.1484375</v>
      </c>
      <c r="M50" s="9">
        <v>3572268.75</v>
      </c>
      <c r="N50" s="21">
        <v>37.017768859863281</v>
      </c>
    </row>
    <row r="51" spans="1:14" x14ac:dyDescent="0.2">
      <c r="A51" s="11" t="s">
        <v>91</v>
      </c>
      <c r="B51" s="8">
        <v>3.803920466452837E-3</v>
      </c>
      <c r="C51" s="9">
        <v>93265.2421875</v>
      </c>
      <c r="D51" s="9">
        <v>354.7735595703125</v>
      </c>
      <c r="E51" s="9">
        <v>93087.859375</v>
      </c>
      <c r="F51" s="9">
        <v>3023549.25</v>
      </c>
      <c r="G51" s="12">
        <v>32.4188232421875</v>
      </c>
      <c r="H51" s="11" t="s">
        <v>91</v>
      </c>
      <c r="I51" s="18">
        <v>2.3659262806177139E-3</v>
      </c>
      <c r="J51" s="9">
        <v>96290.8359375</v>
      </c>
      <c r="K51" s="9">
        <v>227.8170166015625</v>
      </c>
      <c r="L51" s="9">
        <v>96176.921875</v>
      </c>
      <c r="M51" s="9">
        <v>3475872.5</v>
      </c>
      <c r="N51" s="21">
        <v>36.097644805908203</v>
      </c>
    </row>
    <row r="52" spans="1:14" x14ac:dyDescent="0.2">
      <c r="A52" s="11" t="s">
        <v>92</v>
      </c>
      <c r="B52" s="8">
        <v>4.1459756903350353E-3</v>
      </c>
      <c r="C52" s="9">
        <v>92910.46875</v>
      </c>
      <c r="D52" s="9">
        <v>385.20455932617188</v>
      </c>
      <c r="E52" s="9">
        <v>92717.8671875</v>
      </c>
      <c r="F52" s="9">
        <v>2930461.5</v>
      </c>
      <c r="G52" s="12">
        <v>31.540702819824219</v>
      </c>
      <c r="H52" s="11" t="s">
        <v>92</v>
      </c>
      <c r="I52" s="18">
        <v>2.5838462170213461E-3</v>
      </c>
      <c r="J52" s="9">
        <v>96063.015625</v>
      </c>
      <c r="K52" s="9">
        <v>248.21206665039062</v>
      </c>
      <c r="L52" s="9">
        <v>95938.90625</v>
      </c>
      <c r="M52" s="9">
        <v>3379695.75</v>
      </c>
      <c r="N52" s="21">
        <v>35.182071685791016</v>
      </c>
    </row>
    <row r="53" spans="1:14" x14ac:dyDescent="0.2">
      <c r="A53" s="11" t="s">
        <v>93</v>
      </c>
      <c r="B53" s="8">
        <v>4.5468863099813461E-3</v>
      </c>
      <c r="C53" s="9">
        <v>92525.265625</v>
      </c>
      <c r="D53" s="9">
        <v>420.70187377929688</v>
      </c>
      <c r="E53" s="9">
        <v>92314.9140625</v>
      </c>
      <c r="F53" s="9">
        <v>2837743.75</v>
      </c>
      <c r="G53" s="12">
        <v>30.669933319091797</v>
      </c>
      <c r="H53" s="11" t="s">
        <v>93</v>
      </c>
      <c r="I53" s="18">
        <v>2.8362697921693325E-3</v>
      </c>
      <c r="J53" s="9">
        <v>95814.8046875</v>
      </c>
      <c r="K53" s="9">
        <v>271.75662231445312</v>
      </c>
      <c r="L53" s="9">
        <v>95678.921875</v>
      </c>
      <c r="M53" s="9">
        <v>3283756.75</v>
      </c>
      <c r="N53" s="21">
        <v>34.271915435791016</v>
      </c>
    </row>
    <row r="54" spans="1:14" x14ac:dyDescent="0.2">
      <c r="A54" s="11" t="s">
        <v>94</v>
      </c>
      <c r="B54" s="8">
        <v>4.9782963469624519E-3</v>
      </c>
      <c r="C54" s="9">
        <v>92104.5625</v>
      </c>
      <c r="D54" s="9">
        <v>458.5238037109375</v>
      </c>
      <c r="E54" s="9">
        <v>91875.296875</v>
      </c>
      <c r="F54" s="9">
        <v>2745428.75</v>
      </c>
      <c r="G54" s="12">
        <v>29.8077392578125</v>
      </c>
      <c r="H54" s="11" t="s">
        <v>94</v>
      </c>
      <c r="I54" s="18">
        <v>3.1050015240907669E-3</v>
      </c>
      <c r="J54" s="9">
        <v>95543.046875</v>
      </c>
      <c r="K54" s="9">
        <v>296.66131591796875</v>
      </c>
      <c r="L54" s="9">
        <v>95394.71875</v>
      </c>
      <c r="M54" s="9">
        <v>3188077.75</v>
      </c>
      <c r="N54" s="21">
        <v>33.367973327636719</v>
      </c>
    </row>
    <row r="55" spans="1:14" x14ac:dyDescent="0.2">
      <c r="A55" s="11" t="s">
        <v>95</v>
      </c>
      <c r="B55" s="8">
        <v>5.4409313015639782E-3</v>
      </c>
      <c r="C55" s="9">
        <v>91646.0390625</v>
      </c>
      <c r="D55" s="9">
        <v>498.63980102539062</v>
      </c>
      <c r="E55" s="9">
        <v>91396.71875</v>
      </c>
      <c r="F55" s="9">
        <v>2653553.5</v>
      </c>
      <c r="G55" s="12">
        <v>28.954372406005859</v>
      </c>
      <c r="H55" s="11" t="s">
        <v>95</v>
      </c>
      <c r="I55" s="18">
        <v>3.390508471056819E-3</v>
      </c>
      <c r="J55" s="9">
        <v>95246.3828125</v>
      </c>
      <c r="K55" s="9">
        <v>322.93365478515625</v>
      </c>
      <c r="L55" s="9">
        <v>95084.9140625</v>
      </c>
      <c r="M55" s="9">
        <v>3092683.25</v>
      </c>
      <c r="N55" s="21">
        <v>32.470348358154297</v>
      </c>
    </row>
    <row r="56" spans="1:14" x14ac:dyDescent="0.2">
      <c r="A56" s="11" t="s">
        <v>96</v>
      </c>
      <c r="B56" s="8">
        <v>5.9650964103639126E-3</v>
      </c>
      <c r="C56" s="9">
        <v>91147.3984375</v>
      </c>
      <c r="D56" s="9">
        <v>543.7030029296875</v>
      </c>
      <c r="E56" s="9">
        <v>90875.546875</v>
      </c>
      <c r="F56" s="9">
        <v>2562156.75</v>
      </c>
      <c r="G56" s="12">
        <v>28.110036849975586</v>
      </c>
      <c r="H56" s="11" t="s">
        <v>96</v>
      </c>
      <c r="I56" s="18">
        <v>3.7114568985998631E-3</v>
      </c>
      <c r="J56" s="9">
        <v>94923.4453125</v>
      </c>
      <c r="K56" s="9">
        <v>352.30429077148438</v>
      </c>
      <c r="L56" s="9">
        <v>94747.296875</v>
      </c>
      <c r="M56" s="9">
        <v>2997598.25</v>
      </c>
      <c r="N56" s="21">
        <v>31.579113006591797</v>
      </c>
    </row>
    <row r="57" spans="1:14" x14ac:dyDescent="0.2">
      <c r="A57" s="11" t="s">
        <v>97</v>
      </c>
      <c r="B57" s="8">
        <v>6.5485280938446522E-3</v>
      </c>
      <c r="C57" s="9">
        <v>90603.6953125</v>
      </c>
      <c r="D57" s="9">
        <v>593.32086181640625</v>
      </c>
      <c r="E57" s="9">
        <v>90307.03125</v>
      </c>
      <c r="F57" s="9">
        <v>2471281.25</v>
      </c>
      <c r="G57" s="12">
        <v>27.275722503662109</v>
      </c>
      <c r="H57" s="11" t="s">
        <v>97</v>
      </c>
      <c r="I57" s="18">
        <v>4.0661734528839588E-3</v>
      </c>
      <c r="J57" s="9">
        <v>94571.140625</v>
      </c>
      <c r="K57" s="9">
        <v>384.54266357421875</v>
      </c>
      <c r="L57" s="9">
        <v>94378.875</v>
      </c>
      <c r="M57" s="9">
        <v>2902851</v>
      </c>
      <c r="N57" s="21">
        <v>30.694892883300781</v>
      </c>
    </row>
    <row r="58" spans="1:14" x14ac:dyDescent="0.2">
      <c r="A58" s="11" t="s">
        <v>98</v>
      </c>
      <c r="B58" s="8">
        <v>7.1699204854667187E-3</v>
      </c>
      <c r="C58" s="9">
        <v>90010.375</v>
      </c>
      <c r="D58" s="9">
        <v>645.36724853515625</v>
      </c>
      <c r="E58" s="9">
        <v>89687.6875</v>
      </c>
      <c r="F58" s="9">
        <v>2380974.25</v>
      </c>
      <c r="G58" s="12">
        <v>26.452220916748047</v>
      </c>
      <c r="H58" s="11" t="s">
        <v>98</v>
      </c>
      <c r="I58" s="18">
        <v>4.4412612915039062E-3</v>
      </c>
      <c r="J58" s="9">
        <v>94186.6015625</v>
      </c>
      <c r="K58" s="9">
        <v>418.30731201171875</v>
      </c>
      <c r="L58" s="9">
        <v>93977.453125</v>
      </c>
      <c r="M58" s="9">
        <v>2808472</v>
      </c>
      <c r="N58" s="21">
        <v>29.818168640136719</v>
      </c>
    </row>
    <row r="59" spans="1:14" x14ac:dyDescent="0.2">
      <c r="A59" s="11" t="s">
        <v>99</v>
      </c>
      <c r="B59" s="8">
        <v>7.8031821176409721E-3</v>
      </c>
      <c r="C59" s="9">
        <v>89365.0078125</v>
      </c>
      <c r="D59" s="9">
        <v>697.3314208984375</v>
      </c>
      <c r="E59" s="9">
        <v>89016.34375</v>
      </c>
      <c r="F59" s="9">
        <v>2291286.5</v>
      </c>
      <c r="G59" s="12">
        <v>25.639638900756836</v>
      </c>
      <c r="H59" s="11" t="s">
        <v>99</v>
      </c>
      <c r="I59" s="18">
        <v>4.8293191939592361E-3</v>
      </c>
      <c r="J59" s="9">
        <v>93768.296875</v>
      </c>
      <c r="K59" s="9">
        <v>452.8370361328125</v>
      </c>
      <c r="L59" s="9">
        <v>93541.875</v>
      </c>
      <c r="M59" s="9">
        <v>2714494.5</v>
      </c>
      <c r="N59" s="21">
        <v>28.948957443237305</v>
      </c>
    </row>
    <row r="60" spans="1:14" x14ac:dyDescent="0.2">
      <c r="A60" s="11" t="s">
        <v>100</v>
      </c>
      <c r="B60" s="8">
        <v>8.4446631371974945E-3</v>
      </c>
      <c r="C60" s="9">
        <v>88667.6796875</v>
      </c>
      <c r="D60" s="9">
        <v>748.7686767578125</v>
      </c>
      <c r="E60" s="9">
        <v>88293.296875</v>
      </c>
      <c r="F60" s="9">
        <v>2202270</v>
      </c>
      <c r="G60" s="12">
        <v>24.837347030639648</v>
      </c>
      <c r="H60" s="11" t="s">
        <v>100</v>
      </c>
      <c r="I60" s="18">
        <v>5.2210059948265553E-3</v>
      </c>
      <c r="J60" s="9">
        <v>93315.4609375</v>
      </c>
      <c r="K60" s="9">
        <v>487.20059204101562</v>
      </c>
      <c r="L60" s="9">
        <v>93071.859375</v>
      </c>
      <c r="M60" s="9">
        <v>2620952.75</v>
      </c>
      <c r="N60" s="21">
        <v>28.087015151977539</v>
      </c>
    </row>
    <row r="61" spans="1:14" x14ac:dyDescent="0.2">
      <c r="A61" s="11" t="s">
        <v>101</v>
      </c>
      <c r="B61" s="8">
        <v>9.1161839663982391E-3</v>
      </c>
      <c r="C61" s="9">
        <v>87918.9140625</v>
      </c>
      <c r="D61" s="9">
        <v>801.4849853515625</v>
      </c>
      <c r="E61" s="9">
        <v>87518.171875</v>
      </c>
      <c r="F61" s="9">
        <v>2113976.75</v>
      </c>
      <c r="G61" s="12">
        <v>24.044618606567383</v>
      </c>
      <c r="H61" s="11" t="s">
        <v>101</v>
      </c>
      <c r="I61" s="18">
        <v>5.6132902391254902E-3</v>
      </c>
      <c r="J61" s="9">
        <v>92828.2578125</v>
      </c>
      <c r="K61" s="9">
        <v>521.07196044921875</v>
      </c>
      <c r="L61" s="9">
        <v>92567.71875</v>
      </c>
      <c r="M61" s="9">
        <v>2527880.75</v>
      </c>
      <c r="N61" s="21">
        <v>27.231801986694336</v>
      </c>
    </row>
    <row r="62" spans="1:14" x14ac:dyDescent="0.2">
      <c r="A62" s="11" t="s">
        <v>102</v>
      </c>
      <c r="B62" s="8">
        <v>9.8380874842405319E-3</v>
      </c>
      <c r="C62" s="9">
        <v>87117.4296875</v>
      </c>
      <c r="D62" s="9">
        <v>857.06890869140625</v>
      </c>
      <c r="E62" s="9">
        <v>86688.890625</v>
      </c>
      <c r="F62" s="9">
        <v>2026458.625</v>
      </c>
      <c r="G62" s="12">
        <v>23.26123046875</v>
      </c>
      <c r="H62" s="11" t="s">
        <v>102</v>
      </c>
      <c r="I62" s="18">
        <v>6.0113845393061638E-3</v>
      </c>
      <c r="J62" s="9">
        <v>92307.1875</v>
      </c>
      <c r="K62" s="9">
        <v>554.89398193359375</v>
      </c>
      <c r="L62" s="9">
        <v>92029.7421875</v>
      </c>
      <c r="M62" s="9">
        <v>2435313.25</v>
      </c>
      <c r="N62" s="21">
        <v>26.38270378112793</v>
      </c>
    </row>
    <row r="63" spans="1:14" x14ac:dyDescent="0.2">
      <c r="A63" s="11" t="s">
        <v>103</v>
      </c>
      <c r="B63" s="8">
        <v>1.0619322769343853E-2</v>
      </c>
      <c r="C63" s="9">
        <v>86260.359375</v>
      </c>
      <c r="D63" s="9">
        <v>916.026611328125</v>
      </c>
      <c r="E63" s="9">
        <v>85802.34375</v>
      </c>
      <c r="F63" s="9">
        <v>1939769.75</v>
      </c>
      <c r="G63" s="12">
        <v>22.487382888793945</v>
      </c>
      <c r="H63" s="11" t="s">
        <v>103</v>
      </c>
      <c r="I63" s="18">
        <v>6.4290929585695267E-3</v>
      </c>
      <c r="J63" s="9">
        <v>91752.296875</v>
      </c>
      <c r="K63" s="9">
        <v>589.884033203125</v>
      </c>
      <c r="L63" s="9">
        <v>91457.359375</v>
      </c>
      <c r="M63" s="9">
        <v>2343283.5</v>
      </c>
      <c r="N63" s="21">
        <v>25.539236068725586</v>
      </c>
    </row>
    <row r="64" spans="1:14" x14ac:dyDescent="0.2">
      <c r="A64" s="11" t="s">
        <v>104</v>
      </c>
      <c r="B64" s="8">
        <v>1.146990992128849E-2</v>
      </c>
      <c r="C64" s="9">
        <v>85344.3359375</v>
      </c>
      <c r="D64" s="9">
        <v>978.891845703125</v>
      </c>
      <c r="E64" s="9">
        <v>84854.890625</v>
      </c>
      <c r="F64" s="9">
        <v>1853967.375</v>
      </c>
      <c r="G64" s="12">
        <v>21.723379135131836</v>
      </c>
      <c r="H64" s="11" t="s">
        <v>104</v>
      </c>
      <c r="I64" s="18">
        <v>6.8804412148892879E-3</v>
      </c>
      <c r="J64" s="9">
        <v>91162.4140625</v>
      </c>
      <c r="K64" s="9">
        <v>627.23760986328125</v>
      </c>
      <c r="L64" s="9">
        <v>90848.796875</v>
      </c>
      <c r="M64" s="9">
        <v>2251826</v>
      </c>
      <c r="N64" s="21">
        <v>24.701253890991211</v>
      </c>
    </row>
    <row r="65" spans="1:14" x14ac:dyDescent="0.2">
      <c r="A65" s="11" t="s">
        <v>105</v>
      </c>
      <c r="B65" s="8">
        <v>1.2361294589936733E-2</v>
      </c>
      <c r="C65" s="9">
        <v>84365.4453125</v>
      </c>
      <c r="D65" s="9">
        <v>1042.8660888671875</v>
      </c>
      <c r="E65" s="9">
        <v>83844.015625</v>
      </c>
      <c r="F65" s="9">
        <v>1769112.5</v>
      </c>
      <c r="G65" s="12">
        <v>20.969633102416992</v>
      </c>
      <c r="H65" s="11" t="s">
        <v>105</v>
      </c>
      <c r="I65" s="18">
        <v>7.3711993172764778E-3</v>
      </c>
      <c r="J65" s="9">
        <v>90535.1796875</v>
      </c>
      <c r="K65" s="9">
        <v>667.35284423828125</v>
      </c>
      <c r="L65" s="9">
        <v>90201.5</v>
      </c>
      <c r="M65" s="9">
        <v>2160977.25</v>
      </c>
      <c r="N65" s="21">
        <v>23.868923187255859</v>
      </c>
    </row>
    <row r="66" spans="1:14" x14ac:dyDescent="0.2">
      <c r="A66" s="11" t="s">
        <v>106</v>
      </c>
      <c r="B66" s="8">
        <v>1.3260341249406338E-2</v>
      </c>
      <c r="C66" s="9">
        <v>83322.578125</v>
      </c>
      <c r="D66" s="9">
        <v>1104.8858642578125</v>
      </c>
      <c r="E66" s="9">
        <v>82770.140625</v>
      </c>
      <c r="F66" s="9">
        <v>1685268.5</v>
      </c>
      <c r="G66" s="12">
        <v>20.225831985473633</v>
      </c>
      <c r="H66" s="11" t="s">
        <v>106</v>
      </c>
      <c r="I66" s="18">
        <v>7.9033896327018738E-3</v>
      </c>
      <c r="J66" s="9">
        <v>89867.828125</v>
      </c>
      <c r="K66" s="9">
        <v>710.26043701171875</v>
      </c>
      <c r="L66" s="9">
        <v>89512.703125</v>
      </c>
      <c r="M66" s="9">
        <v>2070775.75</v>
      </c>
      <c r="N66" s="21">
        <v>23.042459487915039</v>
      </c>
    </row>
    <row r="67" spans="1:14" x14ac:dyDescent="0.2">
      <c r="A67" s="11" t="s">
        <v>107</v>
      </c>
      <c r="B67" s="8">
        <v>1.4139737002551556E-2</v>
      </c>
      <c r="C67" s="9">
        <v>82217.6953125</v>
      </c>
      <c r="D67" s="9">
        <v>1162.53662109375</v>
      </c>
      <c r="E67" s="9">
        <v>81636.421875</v>
      </c>
      <c r="F67" s="9">
        <v>1602498.375</v>
      </c>
      <c r="G67" s="12">
        <v>19.49091911315918</v>
      </c>
      <c r="H67" s="11" t="s">
        <v>107</v>
      </c>
      <c r="I67" s="18">
        <v>8.4809288382530212E-3</v>
      </c>
      <c r="J67" s="9">
        <v>89157.5703125</v>
      </c>
      <c r="K67" s="9">
        <v>756.1390380859375</v>
      </c>
      <c r="L67" s="9">
        <v>88779.5</v>
      </c>
      <c r="M67" s="9">
        <v>1981263</v>
      </c>
      <c r="N67" s="21">
        <v>22.222038269042969</v>
      </c>
    </row>
    <row r="68" spans="1:14" x14ac:dyDescent="0.2">
      <c r="A68" s="11" t="s">
        <v>108</v>
      </c>
      <c r="B68" s="8">
        <v>1.5018866397440434E-2</v>
      </c>
      <c r="C68" s="9">
        <v>81055.15625</v>
      </c>
      <c r="D68" s="9">
        <v>1217.3565673828125</v>
      </c>
      <c r="E68" s="9">
        <v>80446.4765625</v>
      </c>
      <c r="F68" s="9">
        <v>1520861.875</v>
      </c>
      <c r="G68" s="12">
        <v>18.763296127319336</v>
      </c>
      <c r="H68" s="11" t="s">
        <v>108</v>
      </c>
      <c r="I68" s="18">
        <v>9.1108689084649086E-3</v>
      </c>
      <c r="J68" s="9">
        <v>88401.4296875</v>
      </c>
      <c r="K68" s="9">
        <v>805.413818359375</v>
      </c>
      <c r="L68" s="9">
        <v>87998.71875</v>
      </c>
      <c r="M68" s="9">
        <v>1892483.5</v>
      </c>
      <c r="N68" s="21">
        <v>21.407838821411133</v>
      </c>
    </row>
    <row r="69" spans="1:14" x14ac:dyDescent="0.2">
      <c r="A69" s="11" t="s">
        <v>109</v>
      </c>
      <c r="B69" s="8">
        <v>1.594170555472374E-2</v>
      </c>
      <c r="C69" s="9">
        <v>79837.796875</v>
      </c>
      <c r="D69" s="9">
        <v>1272.7506103515625</v>
      </c>
      <c r="E69" s="9">
        <v>79201.421875</v>
      </c>
      <c r="F69" s="9">
        <v>1440415.5</v>
      </c>
      <c r="G69" s="12">
        <v>18.041774749755859</v>
      </c>
      <c r="H69" s="11" t="s">
        <v>109</v>
      </c>
      <c r="I69" s="18">
        <v>9.7929807379841805E-3</v>
      </c>
      <c r="J69" s="9">
        <v>87596.015625</v>
      </c>
      <c r="K69" s="9">
        <v>857.82611083984375</v>
      </c>
      <c r="L69" s="9">
        <v>87167.1015625</v>
      </c>
      <c r="M69" s="9">
        <v>1804484.875</v>
      </c>
      <c r="N69" s="21">
        <v>20.600078582763672</v>
      </c>
    </row>
    <row r="70" spans="1:14" x14ac:dyDescent="0.2">
      <c r="A70" s="11" t="s">
        <v>110</v>
      </c>
      <c r="B70" s="8">
        <v>1.7026431858539581E-2</v>
      </c>
      <c r="C70" s="9">
        <v>78565.046875</v>
      </c>
      <c r="D70" s="9">
        <v>1337.682373046875</v>
      </c>
      <c r="E70" s="9">
        <v>77896.203125</v>
      </c>
      <c r="F70" s="9">
        <v>1361214</v>
      </c>
      <c r="G70" s="12">
        <v>17.325948715209961</v>
      </c>
      <c r="H70" s="11" t="s">
        <v>110</v>
      </c>
      <c r="I70" s="18">
        <v>1.0567729361355305E-2</v>
      </c>
      <c r="J70" s="9">
        <v>86738.1875</v>
      </c>
      <c r="K70" s="9">
        <v>916.62567138671875</v>
      </c>
      <c r="L70" s="9">
        <v>86279.875</v>
      </c>
      <c r="M70" s="9">
        <v>1717317.75</v>
      </c>
      <c r="N70" s="21">
        <v>19.798866271972656</v>
      </c>
    </row>
    <row r="71" spans="1:14" x14ac:dyDescent="0.2">
      <c r="A71" s="11" t="s">
        <v>111</v>
      </c>
      <c r="B71" s="8">
        <v>1.8188728019595146E-2</v>
      </c>
      <c r="C71" s="9">
        <v>77227.3671875</v>
      </c>
      <c r="D71" s="9">
        <v>1404.6676025390625</v>
      </c>
      <c r="E71" s="9">
        <v>76525.03125</v>
      </c>
      <c r="F71" s="9">
        <v>1283317.875</v>
      </c>
      <c r="G71" s="12">
        <v>16.617397308349609</v>
      </c>
      <c r="H71" s="11" t="s">
        <v>111</v>
      </c>
      <c r="I71" s="18">
        <v>1.1436491273343563E-2</v>
      </c>
      <c r="J71" s="9">
        <v>85821.5625</v>
      </c>
      <c r="K71" s="9">
        <v>981.49755859375</v>
      </c>
      <c r="L71" s="9">
        <v>85330.8125</v>
      </c>
      <c r="M71" s="9">
        <v>1631037.875</v>
      </c>
      <c r="N71" s="21">
        <v>19.004989624023438</v>
      </c>
    </row>
    <row r="72" spans="1:14" x14ac:dyDescent="0.2">
      <c r="A72" s="11" t="s">
        <v>112</v>
      </c>
      <c r="B72" s="8">
        <v>1.9483163952827454E-2</v>
      </c>
      <c r="C72" s="9">
        <v>75822.703125</v>
      </c>
      <c r="D72" s="9">
        <v>1477.26611328125</v>
      </c>
      <c r="E72" s="9">
        <v>75084.0703125</v>
      </c>
      <c r="F72" s="9">
        <v>1206792.75</v>
      </c>
      <c r="G72" s="12">
        <v>15.915981292724609</v>
      </c>
      <c r="H72" s="11" t="s">
        <v>112</v>
      </c>
      <c r="I72" s="18">
        <v>1.247374527156353E-2</v>
      </c>
      <c r="J72" s="9">
        <v>84840.0625</v>
      </c>
      <c r="K72" s="9">
        <v>1058.2733154296875</v>
      </c>
      <c r="L72" s="9">
        <v>84310.921875</v>
      </c>
      <c r="M72" s="9">
        <v>1545707</v>
      </c>
      <c r="N72" s="21">
        <v>18.219070434570312</v>
      </c>
    </row>
    <row r="73" spans="1:14" x14ac:dyDescent="0.2">
      <c r="A73" s="11" t="s">
        <v>113</v>
      </c>
      <c r="B73" s="8">
        <v>2.0990420132875443E-2</v>
      </c>
      <c r="C73" s="9">
        <v>74345.4375</v>
      </c>
      <c r="D73" s="9">
        <v>1560.5419921875</v>
      </c>
      <c r="E73" s="9">
        <v>73565.171875</v>
      </c>
      <c r="F73" s="9">
        <v>1131708.75</v>
      </c>
      <c r="G73" s="12">
        <v>15.222302436828613</v>
      </c>
      <c r="H73" s="11" t="s">
        <v>113</v>
      </c>
      <c r="I73" s="18">
        <v>1.3659073039889336E-2</v>
      </c>
      <c r="J73" s="9">
        <v>83781.7890625</v>
      </c>
      <c r="K73" s="9">
        <v>1144.381591796875</v>
      </c>
      <c r="L73" s="9">
        <v>83209.59375</v>
      </c>
      <c r="M73" s="9">
        <v>1461396.125</v>
      </c>
      <c r="N73" s="21">
        <v>17.44288444519043</v>
      </c>
    </row>
    <row r="74" spans="1:14" x14ac:dyDescent="0.2">
      <c r="A74" s="11" t="s">
        <v>114</v>
      </c>
      <c r="B74" s="8">
        <v>2.2447997704148293E-2</v>
      </c>
      <c r="C74" s="9">
        <v>72784.8984375</v>
      </c>
      <c r="D74" s="9">
        <v>1633.875244140625</v>
      </c>
      <c r="E74" s="9">
        <v>71967.9609375</v>
      </c>
      <c r="F74" s="9">
        <v>1058143.5</v>
      </c>
      <c r="G74" s="12">
        <v>14.537954330444336</v>
      </c>
      <c r="H74" s="11" t="s">
        <v>114</v>
      </c>
      <c r="I74" s="18">
        <v>1.4881229028105736E-2</v>
      </c>
      <c r="J74" s="9">
        <v>82637.40625</v>
      </c>
      <c r="K74" s="9">
        <v>1229.7462158203125</v>
      </c>
      <c r="L74" s="9">
        <v>82022.53125</v>
      </c>
      <c r="M74" s="9">
        <v>1378186.5</v>
      </c>
      <c r="N74" s="21">
        <v>16.677513122558594</v>
      </c>
    </row>
    <row r="75" spans="1:14" x14ac:dyDescent="0.2">
      <c r="A75" s="11" t="s">
        <v>115</v>
      </c>
      <c r="B75" s="8">
        <v>2.4630911648273468E-2</v>
      </c>
      <c r="C75" s="9">
        <v>71151.0234375</v>
      </c>
      <c r="D75" s="9">
        <v>1752.5145263671875</v>
      </c>
      <c r="E75" s="9">
        <v>70274.765625</v>
      </c>
      <c r="F75" s="9">
        <v>986175.5625</v>
      </c>
      <c r="G75" s="12">
        <v>13.86031436920166</v>
      </c>
      <c r="H75" s="11" t="s">
        <v>115</v>
      </c>
      <c r="I75" s="18">
        <v>1.6529232263565063E-2</v>
      </c>
      <c r="J75" s="9">
        <v>81407.65625</v>
      </c>
      <c r="K75" s="9">
        <v>1345.6060791015625</v>
      </c>
      <c r="L75" s="9">
        <v>80734.8515625</v>
      </c>
      <c r="M75" s="9">
        <v>1296164</v>
      </c>
      <c r="N75" s="21">
        <v>15.921893119812012</v>
      </c>
    </row>
    <row r="76" spans="1:14" x14ac:dyDescent="0.2">
      <c r="A76" s="11" t="s">
        <v>116</v>
      </c>
      <c r="B76" s="8">
        <v>2.6569554582238197E-2</v>
      </c>
      <c r="C76" s="9">
        <v>69398.5078125</v>
      </c>
      <c r="D76" s="9">
        <v>1843.887451171875</v>
      </c>
      <c r="E76" s="9">
        <v>68476.5625</v>
      </c>
      <c r="F76" s="9">
        <v>915900.8125</v>
      </c>
      <c r="G76" s="12">
        <v>13.197701454162598</v>
      </c>
      <c r="H76" s="11" t="s">
        <v>116</v>
      </c>
      <c r="I76" s="18">
        <v>1.8210263922810555E-2</v>
      </c>
      <c r="J76" s="9">
        <v>80062.046875</v>
      </c>
      <c r="K76" s="9">
        <v>1457.9510498046875</v>
      </c>
      <c r="L76" s="9">
        <v>79333.0703125</v>
      </c>
      <c r="M76" s="9">
        <v>1215429.125</v>
      </c>
      <c r="N76" s="21">
        <v>15.181089401245117</v>
      </c>
    </row>
    <row r="77" spans="1:14" x14ac:dyDescent="0.2">
      <c r="A77" s="11" t="s">
        <v>117</v>
      </c>
      <c r="B77" s="8">
        <v>2.9040491208434105E-2</v>
      </c>
      <c r="C77" s="9">
        <v>67554.6171875</v>
      </c>
      <c r="D77" s="9">
        <v>1961.8192138671875</v>
      </c>
      <c r="E77" s="9">
        <v>66573.703125</v>
      </c>
      <c r="F77" s="9">
        <v>847424.25</v>
      </c>
      <c r="G77" s="12">
        <v>12.544282913208008</v>
      </c>
      <c r="H77" s="11" t="s">
        <v>117</v>
      </c>
      <c r="I77" s="18">
        <v>2.0010983571410179E-2</v>
      </c>
      <c r="J77" s="9">
        <v>78604.09375</v>
      </c>
      <c r="K77" s="9">
        <v>1572.9451904296875</v>
      </c>
      <c r="L77" s="9">
        <v>77817.625</v>
      </c>
      <c r="M77" s="9">
        <v>1136096</v>
      </c>
      <c r="N77" s="21">
        <v>14.453394889831543</v>
      </c>
    </row>
    <row r="78" spans="1:14" x14ac:dyDescent="0.2">
      <c r="A78" s="11" t="s">
        <v>118</v>
      </c>
      <c r="B78" s="8">
        <v>3.153933584690094E-2</v>
      </c>
      <c r="C78" s="9">
        <v>65592.796875</v>
      </c>
      <c r="D78" s="9">
        <v>2068.753173828125</v>
      </c>
      <c r="E78" s="9">
        <v>64558.421875</v>
      </c>
      <c r="F78" s="9">
        <v>780850.5625</v>
      </c>
      <c r="G78" s="12">
        <v>11.90451717376709</v>
      </c>
      <c r="H78" s="11" t="s">
        <v>118</v>
      </c>
      <c r="I78" s="18">
        <v>2.1903079003095627E-2</v>
      </c>
      <c r="J78" s="9">
        <v>77031.1484375</v>
      </c>
      <c r="K78" s="9">
        <v>1687.2193603515625</v>
      </c>
      <c r="L78" s="9">
        <v>76187.5390625</v>
      </c>
      <c r="M78" s="9">
        <v>1058278.375</v>
      </c>
      <c r="N78" s="21">
        <v>13.738317489624023</v>
      </c>
    </row>
    <row r="79" spans="1:14" x14ac:dyDescent="0.2">
      <c r="A79" s="11" t="s">
        <v>119</v>
      </c>
      <c r="B79" s="8">
        <v>3.4644465893507004E-2</v>
      </c>
      <c r="C79" s="9">
        <v>63524.04296875</v>
      </c>
      <c r="D79" s="9">
        <v>2200.756591796875</v>
      </c>
      <c r="E79" s="9">
        <v>62423.6640625</v>
      </c>
      <c r="F79" s="9">
        <v>716292.125</v>
      </c>
      <c r="G79" s="12">
        <v>11.275921821594238</v>
      </c>
      <c r="H79" s="11" t="s">
        <v>119</v>
      </c>
      <c r="I79" s="18">
        <v>2.4321969598531723E-2</v>
      </c>
      <c r="J79" s="9">
        <v>75343.9296875</v>
      </c>
      <c r="K79" s="9">
        <v>1832.5128173828125</v>
      </c>
      <c r="L79" s="9">
        <v>74427.671875</v>
      </c>
      <c r="M79" s="9">
        <v>982090.875</v>
      </c>
      <c r="N79" s="21">
        <v>13.034770965576172</v>
      </c>
    </row>
    <row r="80" spans="1:14" x14ac:dyDescent="0.2">
      <c r="A80" s="11" t="s">
        <v>120</v>
      </c>
      <c r="B80" s="8">
        <v>3.8148298859596252E-2</v>
      </c>
      <c r="C80" s="9">
        <v>61323.28515625</v>
      </c>
      <c r="D80" s="9">
        <v>2339.37890625</v>
      </c>
      <c r="E80" s="9">
        <v>60153.59375</v>
      </c>
      <c r="F80" s="9">
        <v>653868.5</v>
      </c>
      <c r="G80" s="12">
        <v>10.662646293640137</v>
      </c>
      <c r="H80" s="11" t="s">
        <v>120</v>
      </c>
      <c r="I80" s="18">
        <v>2.6898579671978951E-2</v>
      </c>
      <c r="J80" s="9">
        <v>73511.4140625</v>
      </c>
      <c r="K80" s="9">
        <v>1977.3526611328125</v>
      </c>
      <c r="L80" s="9">
        <v>72522.734375</v>
      </c>
      <c r="M80" s="9">
        <v>907663.25</v>
      </c>
      <c r="N80" s="21">
        <v>12.34724235534668</v>
      </c>
    </row>
    <row r="81" spans="1:14" x14ac:dyDescent="0.2">
      <c r="A81" s="11" t="s">
        <v>121</v>
      </c>
      <c r="B81" s="8">
        <v>4.2249701917171478E-2</v>
      </c>
      <c r="C81" s="9">
        <v>58983.90625</v>
      </c>
      <c r="D81" s="9">
        <v>2492.052490234375</v>
      </c>
      <c r="E81" s="9">
        <v>57737.8828125</v>
      </c>
      <c r="F81" s="9">
        <v>593714.875</v>
      </c>
      <c r="G81" s="12">
        <v>10.065710067749023</v>
      </c>
      <c r="H81" s="11" t="s">
        <v>121</v>
      </c>
      <c r="I81" s="18">
        <v>2.9885623604059219E-2</v>
      </c>
      <c r="J81" s="9">
        <v>71534.0625</v>
      </c>
      <c r="K81" s="9">
        <v>2137.840087890625</v>
      </c>
      <c r="L81" s="9">
        <v>70465.140625</v>
      </c>
      <c r="M81" s="9">
        <v>835140.5</v>
      </c>
      <c r="N81" s="21">
        <v>11.674724578857422</v>
      </c>
    </row>
    <row r="82" spans="1:14" x14ac:dyDescent="0.2">
      <c r="A82" s="11" t="s">
        <v>122</v>
      </c>
      <c r="B82" s="8">
        <v>4.6521790325641632E-2</v>
      </c>
      <c r="C82" s="9">
        <v>56491.85546875</v>
      </c>
      <c r="D82" s="9">
        <v>2628.102294921875</v>
      </c>
      <c r="E82" s="9">
        <v>55177.8046875</v>
      </c>
      <c r="F82" s="9">
        <v>535977</v>
      </c>
      <c r="G82" s="12">
        <v>9.4876861572265625</v>
      </c>
      <c r="H82" s="11" t="s">
        <v>122</v>
      </c>
      <c r="I82" s="18">
        <v>3.3412754535675049E-2</v>
      </c>
      <c r="J82" s="9">
        <v>69396.21875</v>
      </c>
      <c r="K82" s="9">
        <v>2318.71875</v>
      </c>
      <c r="L82" s="9">
        <v>68236.859375</v>
      </c>
      <c r="M82" s="9">
        <v>764675.375</v>
      </c>
      <c r="N82" s="21">
        <v>11.018977165222168</v>
      </c>
    </row>
    <row r="83" spans="1:14" x14ac:dyDescent="0.2">
      <c r="A83" s="11" t="s">
        <v>123</v>
      </c>
      <c r="B83" s="8">
        <v>5.1400776952505112E-2</v>
      </c>
      <c r="C83" s="9">
        <v>53863.75390625</v>
      </c>
      <c r="D83" s="9">
        <v>2768.638916015625</v>
      </c>
      <c r="E83" s="9">
        <v>52479.43359375</v>
      </c>
      <c r="F83" s="9">
        <v>480799.1875</v>
      </c>
      <c r="G83" s="12">
        <v>8.9262104034423828</v>
      </c>
      <c r="H83" s="11" t="s">
        <v>123</v>
      </c>
      <c r="I83" s="18">
        <v>3.7064902484416962E-2</v>
      </c>
      <c r="J83" s="9">
        <v>67077.5</v>
      </c>
      <c r="K83" s="9">
        <v>2486.220947265625</v>
      </c>
      <c r="L83" s="9">
        <v>65834.390625</v>
      </c>
      <c r="M83" s="9">
        <v>696438.5</v>
      </c>
      <c r="N83" s="21">
        <v>10.382595062255859</v>
      </c>
    </row>
    <row r="84" spans="1:14" x14ac:dyDescent="0.2">
      <c r="A84" s="11" t="s">
        <v>124</v>
      </c>
      <c r="B84" s="8">
        <v>5.678277462720871E-2</v>
      </c>
      <c r="C84" s="9">
        <v>51095.11328125</v>
      </c>
      <c r="D84" s="9">
        <v>2901.322265625</v>
      </c>
      <c r="E84" s="9">
        <v>49644.453125</v>
      </c>
      <c r="F84" s="9">
        <v>428319.75</v>
      </c>
      <c r="G84" s="12">
        <v>8.3827924728393555</v>
      </c>
      <c r="H84" s="11" t="s">
        <v>124</v>
      </c>
      <c r="I84" s="18">
        <v>4.147796705365181E-2</v>
      </c>
      <c r="J84" s="9">
        <v>64591.27734375</v>
      </c>
      <c r="K84" s="9">
        <v>2679.114990234375</v>
      </c>
      <c r="L84" s="9">
        <v>63251.71875</v>
      </c>
      <c r="M84" s="9">
        <v>630604.125</v>
      </c>
      <c r="N84" s="21">
        <v>9.7629919052124023</v>
      </c>
    </row>
    <row r="85" spans="1:14" x14ac:dyDescent="0.2">
      <c r="A85" s="11" t="s">
        <v>125</v>
      </c>
      <c r="B85" s="8">
        <v>6.2514141201972961E-2</v>
      </c>
      <c r="C85" s="9">
        <v>48193.7890625</v>
      </c>
      <c r="D85" s="9">
        <v>3012.793212890625</v>
      </c>
      <c r="E85" s="9">
        <v>46687.390625</v>
      </c>
      <c r="F85" s="9">
        <v>378675.3125</v>
      </c>
      <c r="G85" s="12">
        <v>7.8573465347290039</v>
      </c>
      <c r="H85" s="11" t="s">
        <v>125</v>
      </c>
      <c r="I85" s="18">
        <v>4.6149767935276031E-2</v>
      </c>
      <c r="J85" s="9">
        <v>61912.1640625</v>
      </c>
      <c r="K85" s="9">
        <v>2857.23193359375</v>
      </c>
      <c r="L85" s="9">
        <v>60483.546875</v>
      </c>
      <c r="M85" s="9">
        <v>567352.375</v>
      </c>
      <c r="N85" s="21">
        <v>9.1638269424438477</v>
      </c>
    </row>
    <row r="86" spans="1:14" x14ac:dyDescent="0.2">
      <c r="A86" s="11" t="s">
        <v>126</v>
      </c>
      <c r="B86" s="8">
        <v>6.9451943039894104E-2</v>
      </c>
      <c r="C86" s="9">
        <v>45180.99609375</v>
      </c>
      <c r="D86" s="9">
        <v>3137.907958984375</v>
      </c>
      <c r="E86" s="9">
        <v>43612.04296875</v>
      </c>
      <c r="F86" s="9">
        <v>331987.90625</v>
      </c>
      <c r="G86" s="12">
        <v>7.3479547500610352</v>
      </c>
      <c r="H86" s="11" t="s">
        <v>126</v>
      </c>
      <c r="I86" s="18">
        <v>5.1680829375982285E-2</v>
      </c>
      <c r="J86" s="9">
        <v>59054.93359375</v>
      </c>
      <c r="K86" s="9">
        <v>3052.008056640625</v>
      </c>
      <c r="L86" s="9">
        <v>57528.9296875</v>
      </c>
      <c r="M86" s="9">
        <v>506868.84375</v>
      </c>
      <c r="N86" s="21">
        <v>8.5830059051513672</v>
      </c>
    </row>
    <row r="87" spans="1:14" x14ac:dyDescent="0.2">
      <c r="A87" s="11" t="s">
        <v>127</v>
      </c>
      <c r="B87" s="8">
        <v>7.7621564269065857E-2</v>
      </c>
      <c r="C87" s="9">
        <v>42043.08984375</v>
      </c>
      <c r="D87" s="9">
        <v>3263.450439453125</v>
      </c>
      <c r="E87" s="9">
        <v>40411.3671875</v>
      </c>
      <c r="F87" s="9">
        <v>288375.875</v>
      </c>
      <c r="G87" s="12">
        <v>6.8590550422668457</v>
      </c>
      <c r="H87" s="11" t="s">
        <v>127</v>
      </c>
      <c r="I87" s="18">
        <v>5.8587189763784409E-2</v>
      </c>
      <c r="J87" s="9">
        <v>56002.92578125</v>
      </c>
      <c r="K87" s="9">
        <v>3281.053955078125</v>
      </c>
      <c r="L87" s="9">
        <v>54362.3984375</v>
      </c>
      <c r="M87" s="9">
        <v>449339.90625</v>
      </c>
      <c r="N87" s="21">
        <v>8.0235080718994141</v>
      </c>
    </row>
    <row r="88" spans="1:14" x14ac:dyDescent="0.2">
      <c r="A88" s="11" t="s">
        <v>128</v>
      </c>
      <c r="B88" s="8">
        <v>8.6155369877815247E-2</v>
      </c>
      <c r="C88" s="9">
        <v>38779.640625</v>
      </c>
      <c r="D88" s="9">
        <v>3341.07421875</v>
      </c>
      <c r="E88" s="9">
        <v>37109.1015625</v>
      </c>
      <c r="F88" s="9">
        <v>247964.5</v>
      </c>
      <c r="G88" s="12">
        <v>6.3941926956176758</v>
      </c>
      <c r="H88" s="11" t="s">
        <v>128</v>
      </c>
      <c r="I88" s="18">
        <v>6.5586209297180176E-2</v>
      </c>
      <c r="J88" s="9">
        <v>52721.87109375</v>
      </c>
      <c r="K88" s="9">
        <v>3457.82763671875</v>
      </c>
      <c r="L88" s="9">
        <v>50992.95703125</v>
      </c>
      <c r="M88" s="9">
        <v>394977.5</v>
      </c>
      <c r="N88" s="21">
        <v>7.4917201995849609</v>
      </c>
    </row>
    <row r="89" spans="1:14" x14ac:dyDescent="0.2">
      <c r="A89" s="11" t="s">
        <v>129</v>
      </c>
      <c r="B89" s="8">
        <v>9.5450498163700104E-2</v>
      </c>
      <c r="C89" s="9">
        <v>35438.56640625</v>
      </c>
      <c r="D89" s="9">
        <v>3382.62890625</v>
      </c>
      <c r="E89" s="9">
        <v>33747.25</v>
      </c>
      <c r="F89" s="9">
        <v>210855.40625</v>
      </c>
      <c r="G89" s="12">
        <v>5.949885368347168</v>
      </c>
      <c r="H89" s="11" t="s">
        <v>129</v>
      </c>
      <c r="I89" s="18">
        <v>7.2854951024055481E-2</v>
      </c>
      <c r="J89" s="9">
        <v>49264.04296875</v>
      </c>
      <c r="K89" s="9">
        <v>3589.12939453125</v>
      </c>
      <c r="L89" s="9">
        <v>47469.4765625</v>
      </c>
      <c r="M89" s="9">
        <v>343984.5625</v>
      </c>
      <c r="N89" s="21">
        <v>6.9824671745300293</v>
      </c>
    </row>
    <row r="90" spans="1:14" x14ac:dyDescent="0.2">
      <c r="A90" s="11" t="s">
        <v>130</v>
      </c>
      <c r="B90" s="8">
        <v>0.10578827559947968</v>
      </c>
      <c r="C90" s="9">
        <v>32055.9375</v>
      </c>
      <c r="D90" s="9">
        <v>3391.142333984375</v>
      </c>
      <c r="E90" s="9">
        <v>30360.3671875</v>
      </c>
      <c r="F90" s="9">
        <v>177108.15625</v>
      </c>
      <c r="G90" s="12">
        <v>5.5249719619750977</v>
      </c>
      <c r="H90" s="11" t="s">
        <v>130</v>
      </c>
      <c r="I90" s="18">
        <v>8.1114701926708221E-2</v>
      </c>
      <c r="J90" s="9">
        <v>45674.9140625</v>
      </c>
      <c r="K90" s="9">
        <v>3704.906982421875</v>
      </c>
      <c r="L90" s="9">
        <v>43822.4609375</v>
      </c>
      <c r="M90" s="9">
        <v>296515.0625</v>
      </c>
      <c r="N90" s="21">
        <v>6.4918580055236816</v>
      </c>
    </row>
    <row r="91" spans="1:14" x14ac:dyDescent="0.2">
      <c r="A91" s="11" t="s">
        <v>131</v>
      </c>
      <c r="B91" s="8">
        <v>0.11852699518203735</v>
      </c>
      <c r="C91" s="9">
        <v>28664.794921875</v>
      </c>
      <c r="D91" s="9">
        <v>3397.552001953125</v>
      </c>
      <c r="E91" s="9">
        <v>26966.01953125</v>
      </c>
      <c r="F91" s="9">
        <v>146747.78125</v>
      </c>
      <c r="G91" s="12">
        <v>5.1194429397583008</v>
      </c>
      <c r="H91" s="11" t="s">
        <v>131</v>
      </c>
      <c r="I91" s="18">
        <v>9.1617569327354431E-2</v>
      </c>
      <c r="J91" s="9">
        <v>41970.0078125</v>
      </c>
      <c r="K91" s="9">
        <v>3845.190185546875</v>
      </c>
      <c r="L91" s="9">
        <v>40047.4140625</v>
      </c>
      <c r="M91" s="9">
        <v>252692.609375</v>
      </c>
      <c r="N91" s="21">
        <v>6.0207901000976562</v>
      </c>
    </row>
    <row r="92" spans="1:14" x14ac:dyDescent="0.2">
      <c r="A92" s="11" t="s">
        <v>132</v>
      </c>
      <c r="B92" s="8">
        <v>0.13243746757507324</v>
      </c>
      <c r="C92" s="9">
        <v>25267.2421875</v>
      </c>
      <c r="D92" s="9">
        <v>3346.32958984375</v>
      </c>
      <c r="E92" s="9">
        <v>23594.078125</v>
      </c>
      <c r="F92" s="9">
        <v>119781.765625</v>
      </c>
      <c r="G92" s="12">
        <v>4.7405953407287598</v>
      </c>
      <c r="H92" s="11" t="s">
        <v>132</v>
      </c>
      <c r="I92" s="18">
        <v>0.10324060171842575</v>
      </c>
      <c r="J92" s="9">
        <v>38124.81640625</v>
      </c>
      <c r="K92" s="9">
        <v>3936.029052734375</v>
      </c>
      <c r="L92" s="9">
        <v>36156.8046875</v>
      </c>
      <c r="M92" s="9">
        <v>212645.203125</v>
      </c>
      <c r="N92" s="21">
        <v>5.5776057243347168</v>
      </c>
    </row>
    <row r="93" spans="1:14" x14ac:dyDescent="0.2">
      <c r="A93" s="11" t="s">
        <v>133</v>
      </c>
      <c r="B93" s="8">
        <v>0.14754107594490051</v>
      </c>
      <c r="C93" s="9">
        <v>21920.912109375</v>
      </c>
      <c r="D93" s="9">
        <v>3234.23486328125</v>
      </c>
      <c r="E93" s="9">
        <v>20303.794921875</v>
      </c>
      <c r="F93" s="9">
        <v>96187.6875</v>
      </c>
      <c r="G93" s="12">
        <v>4.387941837310791</v>
      </c>
      <c r="H93" s="11" t="s">
        <v>133</v>
      </c>
      <c r="I93" s="18">
        <v>0.11604062467813492</v>
      </c>
      <c r="J93" s="9">
        <v>34188.7890625</v>
      </c>
      <c r="K93" s="9">
        <v>3967.288330078125</v>
      </c>
      <c r="L93" s="9">
        <v>32205.14453125</v>
      </c>
      <c r="M93" s="9">
        <v>176488.390625</v>
      </c>
      <c r="N93" s="21">
        <v>5.1621713638305664</v>
      </c>
    </row>
    <row r="94" spans="1:14" x14ac:dyDescent="0.2">
      <c r="A94" s="11" t="s">
        <v>134</v>
      </c>
      <c r="B94" s="8">
        <v>0.16383889317512512</v>
      </c>
      <c r="C94" s="9">
        <v>18686.677734375</v>
      </c>
      <c r="D94" s="9">
        <v>3061.6044921875</v>
      </c>
      <c r="E94" s="9">
        <v>17155.875</v>
      </c>
      <c r="F94" s="9">
        <v>75883.8984375</v>
      </c>
      <c r="G94" s="12">
        <v>4.0608553886413574</v>
      </c>
      <c r="H94" s="11" t="s">
        <v>134</v>
      </c>
      <c r="I94" s="18">
        <v>0.13006128370761871</v>
      </c>
      <c r="J94" s="9">
        <v>30221.5</v>
      </c>
      <c r="K94" s="9">
        <v>3930.64697265625</v>
      </c>
      <c r="L94" s="9">
        <v>28256.17578125</v>
      </c>
      <c r="M94" s="9">
        <v>144283.25</v>
      </c>
      <c r="N94" s="21">
        <v>4.7741923332214355</v>
      </c>
    </row>
    <row r="95" spans="1:14" x14ac:dyDescent="0.2">
      <c r="A95" s="11" t="s">
        <v>135</v>
      </c>
      <c r="B95" s="8">
        <v>0.18130825459957123</v>
      </c>
      <c r="C95" s="9">
        <v>15625.0732421875</v>
      </c>
      <c r="D95" s="9">
        <v>2832.954833984375</v>
      </c>
      <c r="E95" s="9">
        <v>14208.595703125</v>
      </c>
      <c r="F95" s="9">
        <v>58728.01953125</v>
      </c>
      <c r="G95" s="12">
        <v>3.7585756778717041</v>
      </c>
      <c r="H95" s="11" t="s">
        <v>135</v>
      </c>
      <c r="I95" s="18">
        <v>0.14532890915870667</v>
      </c>
      <c r="J95" s="9">
        <v>26290.853515625</v>
      </c>
      <c r="K95" s="9">
        <v>3820.821044921875</v>
      </c>
      <c r="L95" s="9">
        <v>24380.443359375</v>
      </c>
      <c r="M95" s="9">
        <v>116027.0703125</v>
      </c>
      <c r="N95" s="21">
        <v>4.413210391998291</v>
      </c>
    </row>
    <row r="96" spans="1:14" x14ac:dyDescent="0.2">
      <c r="A96" s="11" t="s">
        <v>136</v>
      </c>
      <c r="B96" s="8">
        <v>0.19989974796772003</v>
      </c>
      <c r="C96" s="9">
        <v>12792.1181640625</v>
      </c>
      <c r="D96" s="9">
        <v>2557.14111328125</v>
      </c>
      <c r="E96" s="9">
        <v>11513.546875</v>
      </c>
      <c r="F96" s="9">
        <v>44519.42578125</v>
      </c>
      <c r="G96" s="12">
        <v>3.4802231788635254</v>
      </c>
      <c r="H96" s="11" t="s">
        <v>136</v>
      </c>
      <c r="I96" s="18">
        <v>0.16184815764427185</v>
      </c>
      <c r="J96" s="9">
        <v>22470.033203125</v>
      </c>
      <c r="K96" s="9">
        <v>3636.7333984375</v>
      </c>
      <c r="L96" s="9">
        <v>20651.66796875</v>
      </c>
      <c r="M96" s="9">
        <v>91646.625</v>
      </c>
      <c r="N96" s="21">
        <v>4.078615665435791</v>
      </c>
    </row>
    <row r="97" spans="1:14" x14ac:dyDescent="0.2">
      <c r="A97" s="11" t="s">
        <v>137</v>
      </c>
      <c r="B97" s="8">
        <v>0.21953538060188293</v>
      </c>
      <c r="C97" s="9">
        <v>10234.9765625</v>
      </c>
      <c r="D97" s="9">
        <v>2246.939453125</v>
      </c>
      <c r="E97" s="9">
        <v>9111.5068359375</v>
      </c>
      <c r="F97" s="9">
        <v>33005.87890625</v>
      </c>
      <c r="G97" s="12">
        <v>3.2248122692108154</v>
      </c>
      <c r="H97" s="11" t="s">
        <v>137</v>
      </c>
      <c r="I97" s="18">
        <v>0.17959828674793243</v>
      </c>
      <c r="J97" s="9">
        <v>18833.30078125</v>
      </c>
      <c r="K97" s="9">
        <v>3382.428466796875</v>
      </c>
      <c r="L97" s="9">
        <v>17142.0859375</v>
      </c>
      <c r="M97" s="9">
        <v>70994.9609375</v>
      </c>
      <c r="N97" s="21">
        <v>3.7696504592895508</v>
      </c>
    </row>
    <row r="98" spans="1:14" x14ac:dyDescent="0.2">
      <c r="A98" s="11" t="s">
        <v>138</v>
      </c>
      <c r="B98" s="8">
        <v>0.24010759592056274</v>
      </c>
      <c r="C98" s="9">
        <v>7988.037109375</v>
      </c>
      <c r="D98" s="9">
        <v>1917.9884033203125</v>
      </c>
      <c r="E98" s="9">
        <v>7029.04296875</v>
      </c>
      <c r="F98" s="9">
        <v>23894.37109375</v>
      </c>
      <c r="G98" s="12">
        <v>2.9912693500518799</v>
      </c>
      <c r="H98" s="11" t="s">
        <v>138</v>
      </c>
      <c r="I98" s="18">
        <v>0.19852951169013977</v>
      </c>
      <c r="J98" s="9">
        <v>15450.8720703125</v>
      </c>
      <c r="K98" s="9">
        <v>3067.4541015625</v>
      </c>
      <c r="L98" s="9">
        <v>13917.14453125</v>
      </c>
      <c r="M98" s="9">
        <v>53852.875</v>
      </c>
      <c r="N98" s="21">
        <v>3.4854261875152588</v>
      </c>
    </row>
    <row r="99" spans="1:14" x14ac:dyDescent="0.2">
      <c r="A99" s="11" t="s">
        <v>139</v>
      </c>
      <c r="B99" s="8">
        <v>0.26148021221160889</v>
      </c>
      <c r="C99" s="9">
        <v>6070.048828125</v>
      </c>
      <c r="D99" s="9">
        <v>1587.1976318359375</v>
      </c>
      <c r="E99" s="9">
        <v>5276.4501953125</v>
      </c>
      <c r="F99" s="9">
        <v>16865.328125</v>
      </c>
      <c r="G99" s="12">
        <v>2.7784502506256104</v>
      </c>
      <c r="H99" s="11" t="s">
        <v>139</v>
      </c>
      <c r="I99" s="18">
        <v>0.2185608297586441</v>
      </c>
      <c r="J99" s="9">
        <v>12383.41796875</v>
      </c>
      <c r="K99" s="9">
        <v>2706.530029296875</v>
      </c>
      <c r="L99" s="9">
        <v>11030.15234375</v>
      </c>
      <c r="M99" s="9">
        <v>39935.73046875</v>
      </c>
      <c r="N99" s="21">
        <v>3.2249360084533691</v>
      </c>
    </row>
    <row r="100" spans="1:14" x14ac:dyDescent="0.2">
      <c r="A100" s="11" t="s">
        <v>140</v>
      </c>
      <c r="B100" s="8">
        <v>0.28349092602729797</v>
      </c>
      <c r="C100" s="9">
        <v>4482.85107421875</v>
      </c>
      <c r="D100" s="9">
        <v>1270.84765625</v>
      </c>
      <c r="E100" s="9">
        <v>3847.42724609375</v>
      </c>
      <c r="F100" s="9">
        <v>11588.8779296875</v>
      </c>
      <c r="G100" s="12">
        <v>2.5851578712463379</v>
      </c>
      <c r="H100" s="11" t="s">
        <v>140</v>
      </c>
      <c r="I100" s="18">
        <v>0.23957890272140503</v>
      </c>
      <c r="J100" s="9">
        <v>9676.8876953125</v>
      </c>
      <c r="K100" s="9">
        <v>2318.378173828125</v>
      </c>
      <c r="L100" s="9">
        <v>8517.69921875</v>
      </c>
      <c r="M100" s="9">
        <v>28905.578125</v>
      </c>
      <c r="N100" s="21">
        <v>2.9870738983154297</v>
      </c>
    </row>
    <row r="101" spans="1:14" x14ac:dyDescent="0.2">
      <c r="A101" s="11" t="s">
        <v>141</v>
      </c>
      <c r="B101" s="8">
        <v>0.30595538020133972</v>
      </c>
      <c r="C101" s="9">
        <v>3212.00341796875</v>
      </c>
      <c r="D101" s="9">
        <v>982.729736328125</v>
      </c>
      <c r="E101" s="9">
        <v>2720.638671875</v>
      </c>
      <c r="F101" s="9">
        <v>7741.45068359375</v>
      </c>
      <c r="G101" s="12">
        <v>2.4101626873016357</v>
      </c>
      <c r="H101" s="11" t="s">
        <v>141</v>
      </c>
      <c r="I101" s="18">
        <v>0.26143896579742432</v>
      </c>
      <c r="J101" s="9">
        <v>7358.509765625</v>
      </c>
      <c r="K101" s="9">
        <v>1923.8011474609375</v>
      </c>
      <c r="L101" s="9">
        <v>6396.609375</v>
      </c>
      <c r="M101" s="9">
        <v>20387.87890625</v>
      </c>
      <c r="N101" s="21">
        <v>2.770653247833252</v>
      </c>
    </row>
    <row r="102" spans="1:14" x14ac:dyDescent="0.2">
      <c r="A102" s="11" t="s">
        <v>142</v>
      </c>
      <c r="B102" s="8">
        <v>0.32867306470870972</v>
      </c>
      <c r="C102" s="9">
        <v>2229.273681640625</v>
      </c>
      <c r="D102" s="9">
        <v>732.70220947265625</v>
      </c>
      <c r="E102" s="9">
        <v>1862.922607421875</v>
      </c>
      <c r="F102" s="9">
        <v>5020.81201171875</v>
      </c>
      <c r="G102" s="12">
        <v>2.2522187232971191</v>
      </c>
      <c r="H102" s="11" t="s">
        <v>142</v>
      </c>
      <c r="I102" s="18">
        <v>0.28396740555763245</v>
      </c>
      <c r="J102" s="9">
        <v>5434.70849609375</v>
      </c>
      <c r="K102" s="9">
        <v>1543.280029296875</v>
      </c>
      <c r="L102" s="9">
        <v>4663.068359375</v>
      </c>
      <c r="M102" s="9">
        <v>13991.26953125</v>
      </c>
      <c r="N102" s="21">
        <v>2.5744287967681885</v>
      </c>
    </row>
    <row r="103" spans="1:14" x14ac:dyDescent="0.2">
      <c r="A103" s="11" t="s">
        <v>143</v>
      </c>
      <c r="B103" s="8">
        <v>0.35143411159515381</v>
      </c>
      <c r="C103" s="9">
        <v>1496.571533203125</v>
      </c>
      <c r="D103" s="9">
        <v>525.9462890625</v>
      </c>
      <c r="E103" s="9">
        <v>1233.598388671875</v>
      </c>
      <c r="F103" s="9">
        <v>3157.8896484375</v>
      </c>
      <c r="G103" s="12">
        <v>2.1100826263427734</v>
      </c>
      <c r="H103" s="11" t="s">
        <v>143</v>
      </c>
      <c r="I103" s="18">
        <v>0.306966632604599</v>
      </c>
      <c r="J103" s="9">
        <v>3891.428466796875</v>
      </c>
      <c r="K103" s="9">
        <v>1194.5386962890625</v>
      </c>
      <c r="L103" s="9">
        <v>3294.1591796875</v>
      </c>
      <c r="M103" s="9">
        <v>9328.201171875</v>
      </c>
      <c r="N103" s="21">
        <v>2.3971149921417236</v>
      </c>
    </row>
    <row r="104" spans="1:14" x14ac:dyDescent="0.2">
      <c r="A104" s="13" t="s">
        <v>144</v>
      </c>
      <c r="B104" s="14">
        <v>1</v>
      </c>
      <c r="C104" s="15">
        <v>970.625244140625</v>
      </c>
      <c r="D104" s="15">
        <v>970.625244140625</v>
      </c>
      <c r="E104" s="15">
        <v>1924.2911376953125</v>
      </c>
      <c r="F104" s="15">
        <v>1924.2911376953125</v>
      </c>
      <c r="G104" s="16">
        <v>1.9825273752212524</v>
      </c>
      <c r="H104" s="13" t="s">
        <v>144</v>
      </c>
      <c r="I104" s="19">
        <v>1</v>
      </c>
      <c r="J104" s="15">
        <v>2696.8896484375</v>
      </c>
      <c r="K104" s="15">
        <v>2696.8896484375</v>
      </c>
      <c r="L104" s="15">
        <v>6034.0419921875</v>
      </c>
      <c r="M104" s="15">
        <v>6034.0419921875</v>
      </c>
      <c r="N104" s="22">
        <v>2.237407922744751</v>
      </c>
    </row>
    <row r="105" spans="1:14" ht="14.5" customHeight="1" x14ac:dyDescent="0.2">
      <c r="A105" s="85" t="s">
        <v>145</v>
      </c>
      <c r="B105" s="85"/>
      <c r="C105" s="85"/>
      <c r="D105" s="85"/>
      <c r="E105" s="85"/>
      <c r="F105" s="85"/>
      <c r="G105" s="85"/>
    </row>
    <row r="106" spans="1:14" x14ac:dyDescent="0.2">
      <c r="A106" s="17"/>
      <c r="B106" s="17"/>
      <c r="C106" s="17"/>
      <c r="D106" s="17"/>
      <c r="E106" s="17"/>
      <c r="F106" s="17"/>
      <c r="G106" s="17"/>
    </row>
  </sheetData>
  <mergeCells count="5">
    <mergeCell ref="A1:G1"/>
    <mergeCell ref="A2:A3"/>
    <mergeCell ref="A105:G105"/>
    <mergeCell ref="H1:N1"/>
    <mergeCell ref="H2:H3"/>
  </mergeCells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148</v>
      </c>
      <c r="B1" t="s">
        <v>157</v>
      </c>
      <c r="C1" t="s">
        <v>158</v>
      </c>
      <c r="D1" t="s">
        <v>243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25</v>
      </c>
      <c r="B3">
        <f>9.8/1000</f>
        <v>9.8000000000000014E-3</v>
      </c>
      <c r="C3">
        <f>7/1000</f>
        <v>7.0000000000000001E-3</v>
      </c>
      <c r="D3" s="24">
        <f>B3/C3</f>
        <v>1.4000000000000001</v>
      </c>
    </row>
    <row r="4" spans="1:4" x14ac:dyDescent="0.2">
      <c r="A4">
        <v>30</v>
      </c>
      <c r="B4">
        <f>15.9/1000</f>
        <v>1.5900000000000001E-2</v>
      </c>
      <c r="C4">
        <f>7.4/1000</f>
        <v>7.4000000000000003E-3</v>
      </c>
      <c r="D4" s="24">
        <f t="shared" ref="D4:D11" si="0">B4/C4</f>
        <v>2.1486486486486487</v>
      </c>
    </row>
    <row r="5" spans="1:4" x14ac:dyDescent="0.2">
      <c r="A5">
        <v>35</v>
      </c>
      <c r="B5">
        <f>8.3/1000</f>
        <v>8.3000000000000001E-3</v>
      </c>
      <c r="C5">
        <f>2.8/1000</f>
        <v>2.8E-3</v>
      </c>
      <c r="D5" s="24">
        <f t="shared" si="0"/>
        <v>2.9642857142857144</v>
      </c>
    </row>
    <row r="6" spans="1:4" x14ac:dyDescent="0.2">
      <c r="A6">
        <v>40</v>
      </c>
      <c r="B6">
        <f>7.9/1000</f>
        <v>7.9000000000000008E-3</v>
      </c>
      <c r="C6">
        <f>2.2/1000</f>
        <v>2.2000000000000001E-3</v>
      </c>
      <c r="D6" s="24">
        <f t="shared" si="0"/>
        <v>3.5909090909090908</v>
      </c>
    </row>
    <row r="7" spans="1:4" x14ac:dyDescent="0.2">
      <c r="A7">
        <v>45</v>
      </c>
      <c r="B7">
        <f>16.8/1000</f>
        <v>1.6800000000000002E-2</v>
      </c>
      <c r="C7">
        <f>4.7/1000</f>
        <v>4.7000000000000002E-3</v>
      </c>
      <c r="D7" s="24">
        <f t="shared" si="0"/>
        <v>3.5744680851063833</v>
      </c>
    </row>
    <row r="8" spans="1:4" x14ac:dyDescent="0.2">
      <c r="A8">
        <v>50</v>
      </c>
      <c r="B8">
        <f>27.4/1000</f>
        <v>2.7399999999999997E-2</v>
      </c>
      <c r="C8">
        <f>6.9/1000</f>
        <v>6.9000000000000008E-3</v>
      </c>
      <c r="D8" s="24">
        <f t="shared" si="0"/>
        <v>3.9710144927536222</v>
      </c>
    </row>
    <row r="9" spans="1:4" x14ac:dyDescent="0.2">
      <c r="A9">
        <v>55</v>
      </c>
      <c r="B9">
        <f>19.6/1000</f>
        <v>1.9600000000000003E-2</v>
      </c>
      <c r="C9">
        <f>9.6/1000</f>
        <v>9.5999999999999992E-3</v>
      </c>
      <c r="D9" s="24">
        <f t="shared" si="0"/>
        <v>2.041666666666667</v>
      </c>
    </row>
    <row r="10" spans="1:4" x14ac:dyDescent="0.2">
      <c r="A10">
        <v>60</v>
      </c>
      <c r="B10">
        <f>36/1000</f>
        <v>3.5999999999999997E-2</v>
      </c>
      <c r="C10">
        <f>33.8/1000</f>
        <v>3.3799999999999997E-2</v>
      </c>
      <c r="D10" s="24">
        <f t="shared" si="0"/>
        <v>1.0650887573964498</v>
      </c>
    </row>
    <row r="11" spans="1:4" x14ac:dyDescent="0.2">
      <c r="A11">
        <v>65</v>
      </c>
      <c r="B11">
        <f>61.1/1000</f>
        <v>6.1100000000000002E-2</v>
      </c>
      <c r="C11">
        <f>20/1000</f>
        <v>0.02</v>
      </c>
      <c r="D11" s="24">
        <f t="shared" si="0"/>
        <v>3.0550000000000002</v>
      </c>
    </row>
    <row r="12" spans="1:4" x14ac:dyDescent="0.2">
      <c r="A12">
        <v>70</v>
      </c>
      <c r="B12">
        <f>63.7/1000</f>
        <v>6.3700000000000007E-2</v>
      </c>
      <c r="C12">
        <f>51.3/1000</f>
        <v>5.1299999999999998E-2</v>
      </c>
      <c r="D12" s="24">
        <f>B12/C12</f>
        <v>1.2417153996101367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7"/>
  <sheetViews>
    <sheetView workbookViewId="0">
      <selection activeCell="B57" sqref="B57"/>
    </sheetView>
  </sheetViews>
  <sheetFormatPr baseColWidth="10" defaultColWidth="8.83203125" defaultRowHeight="15" x14ac:dyDescent="0.2"/>
  <cols>
    <col min="1" max="1" width="92.6640625" bestFit="1" customWidth="1"/>
    <col min="2" max="2" width="27.83203125" bestFit="1" customWidth="1"/>
    <col min="3" max="3" width="27.83203125" customWidth="1"/>
    <col min="4" max="4" width="21.1640625" customWidth="1"/>
    <col min="5" max="5" width="13.6640625" customWidth="1"/>
  </cols>
  <sheetData>
    <row r="1" spans="1:11" x14ac:dyDescent="0.2">
      <c r="A1" t="s">
        <v>0</v>
      </c>
      <c r="B1" t="s">
        <v>1</v>
      </c>
      <c r="C1" t="s">
        <v>224</v>
      </c>
      <c r="K1" t="s">
        <v>292</v>
      </c>
    </row>
    <row r="2" spans="1:11" x14ac:dyDescent="0.2">
      <c r="A2" t="s">
        <v>23</v>
      </c>
    </row>
    <row r="3" spans="1:11" x14ac:dyDescent="0.2">
      <c r="A3" t="s">
        <v>2</v>
      </c>
      <c r="B3">
        <v>0.7</v>
      </c>
      <c r="C3" t="s">
        <v>222</v>
      </c>
      <c r="K3" t="s">
        <v>222</v>
      </c>
    </row>
    <row r="4" spans="1:11" x14ac:dyDescent="0.2">
      <c r="A4" t="s">
        <v>3</v>
      </c>
      <c r="B4">
        <v>3.6</v>
      </c>
      <c r="C4" t="s">
        <v>223</v>
      </c>
      <c r="K4" t="s">
        <v>223</v>
      </c>
    </row>
    <row r="5" spans="1:11" x14ac:dyDescent="0.2">
      <c r="A5" t="s">
        <v>4</v>
      </c>
      <c r="B5">
        <v>7.7</v>
      </c>
      <c r="C5" t="s">
        <v>225</v>
      </c>
      <c r="K5" t="s">
        <v>293</v>
      </c>
    </row>
    <row r="6" spans="1:11" x14ac:dyDescent="0.2">
      <c r="A6" t="s">
        <v>181</v>
      </c>
      <c r="B6">
        <v>0.25</v>
      </c>
      <c r="C6" t="s">
        <v>226</v>
      </c>
      <c r="K6" t="s">
        <v>226</v>
      </c>
    </row>
    <row r="7" spans="1:11" x14ac:dyDescent="0.2">
      <c r="A7" t="s">
        <v>5</v>
      </c>
      <c r="B7">
        <v>0.33</v>
      </c>
      <c r="C7" t="s">
        <v>228</v>
      </c>
      <c r="K7" t="s">
        <v>228</v>
      </c>
    </row>
    <row r="8" spans="1:11" x14ac:dyDescent="0.2">
      <c r="A8" t="s">
        <v>6</v>
      </c>
    </row>
    <row r="9" spans="1:11" x14ac:dyDescent="0.2">
      <c r="A9" t="s">
        <v>7</v>
      </c>
      <c r="B9">
        <v>0.05</v>
      </c>
      <c r="C9" t="s">
        <v>229</v>
      </c>
      <c r="K9" t="s">
        <v>294</v>
      </c>
    </row>
    <row r="10" spans="1:11" x14ac:dyDescent="0.2">
      <c r="A10" t="s">
        <v>8</v>
      </c>
      <c r="B10">
        <v>0.09</v>
      </c>
      <c r="K10" t="s">
        <v>295</v>
      </c>
    </row>
    <row r="11" spans="1:11" x14ac:dyDescent="0.2">
      <c r="A11" t="s">
        <v>9</v>
      </c>
      <c r="B11">
        <v>20</v>
      </c>
      <c r="K11" t="s">
        <v>297</v>
      </c>
    </row>
    <row r="12" spans="1:11" x14ac:dyDescent="0.2">
      <c r="A12" t="s">
        <v>10</v>
      </c>
      <c r="B12">
        <v>0.25</v>
      </c>
      <c r="K12" t="s">
        <v>296</v>
      </c>
    </row>
    <row r="13" spans="1:11" x14ac:dyDescent="0.2">
      <c r="A13" t="s">
        <v>182</v>
      </c>
      <c r="B13">
        <v>0.7</v>
      </c>
      <c r="C13" t="s">
        <v>230</v>
      </c>
      <c r="K13" t="s">
        <v>230</v>
      </c>
    </row>
    <row r="14" spans="1:11" x14ac:dyDescent="0.2">
      <c r="A14" t="s">
        <v>14</v>
      </c>
    </row>
    <row r="15" spans="1:11" x14ac:dyDescent="0.2">
      <c r="A15" t="s">
        <v>7</v>
      </c>
      <c r="B15">
        <v>0.05</v>
      </c>
      <c r="C15" t="s">
        <v>231</v>
      </c>
      <c r="K15" t="s">
        <v>298</v>
      </c>
    </row>
    <row r="16" spans="1:11" x14ac:dyDescent="0.2">
      <c r="A16" t="s">
        <v>183</v>
      </c>
      <c r="B16">
        <v>0.19</v>
      </c>
      <c r="C16" t="s">
        <v>232</v>
      </c>
      <c r="K16" t="s">
        <v>299</v>
      </c>
    </row>
    <row r="17" spans="1:11" x14ac:dyDescent="0.2">
      <c r="A17" t="s">
        <v>176</v>
      </c>
      <c r="B17">
        <v>20</v>
      </c>
      <c r="C17" s="33" t="s">
        <v>233</v>
      </c>
      <c r="K17" t="s">
        <v>297</v>
      </c>
    </row>
    <row r="18" spans="1:11" x14ac:dyDescent="0.2">
      <c r="A18" t="s">
        <v>180</v>
      </c>
      <c r="B18">
        <v>15</v>
      </c>
      <c r="C18" s="33" t="s">
        <v>234</v>
      </c>
      <c r="K18" t="s">
        <v>297</v>
      </c>
    </row>
    <row r="19" spans="1:11" x14ac:dyDescent="0.2">
      <c r="A19" t="s">
        <v>15</v>
      </c>
    </row>
    <row r="20" spans="1:11" x14ac:dyDescent="0.2">
      <c r="A20" t="s">
        <v>16</v>
      </c>
      <c r="B20" t="s">
        <v>17</v>
      </c>
    </row>
    <row r="21" spans="1:11" x14ac:dyDescent="0.2">
      <c r="A21" t="s">
        <v>18</v>
      </c>
      <c r="B21" t="s">
        <v>17</v>
      </c>
    </row>
    <row r="22" spans="1:11" x14ac:dyDescent="0.2">
      <c r="A22" t="s">
        <v>11</v>
      </c>
      <c r="B22" t="s">
        <v>17</v>
      </c>
    </row>
    <row r="23" spans="1:11" x14ac:dyDescent="0.2">
      <c r="A23" t="s">
        <v>12</v>
      </c>
      <c r="B23" t="s">
        <v>17</v>
      </c>
    </row>
    <row r="24" spans="1:11" x14ac:dyDescent="0.2">
      <c r="A24" t="s">
        <v>13</v>
      </c>
      <c r="B24" t="s">
        <v>17</v>
      </c>
    </row>
    <row r="25" spans="1:11" x14ac:dyDescent="0.2">
      <c r="A25" t="s">
        <v>8</v>
      </c>
      <c r="B25" t="s">
        <v>17</v>
      </c>
    </row>
    <row r="26" spans="1:11" x14ac:dyDescent="0.2">
      <c r="A26" t="s">
        <v>19</v>
      </c>
      <c r="B26" t="s">
        <v>155</v>
      </c>
      <c r="D26" s="23" t="s">
        <v>156</v>
      </c>
    </row>
    <row r="27" spans="1:11" x14ac:dyDescent="0.2">
      <c r="A27" t="s">
        <v>20</v>
      </c>
      <c r="B27" t="s">
        <v>17</v>
      </c>
    </row>
    <row r="28" spans="1:11" x14ac:dyDescent="0.2">
      <c r="A28" t="s">
        <v>21</v>
      </c>
      <c r="B28" t="s">
        <v>17</v>
      </c>
    </row>
    <row r="29" spans="1:11" ht="16" thickBot="1" x14ac:dyDescent="0.25">
      <c r="A29" t="s">
        <v>22</v>
      </c>
    </row>
    <row r="30" spans="1:11" ht="16" thickBot="1" x14ac:dyDescent="0.25">
      <c r="A30" t="s">
        <v>11</v>
      </c>
      <c r="B30">
        <v>6.0000000000000001E-3</v>
      </c>
      <c r="C30" s="62"/>
      <c r="K30" t="s">
        <v>359</v>
      </c>
    </row>
    <row r="31" spans="1:11" ht="16" thickBot="1" x14ac:dyDescent="0.25">
      <c r="A31" t="s">
        <v>12</v>
      </c>
      <c r="B31">
        <v>4.1000000000000002E-2</v>
      </c>
      <c r="C31" s="63"/>
    </row>
    <row r="32" spans="1:11" ht="16" thickBot="1" x14ac:dyDescent="0.25">
      <c r="A32" t="s">
        <v>13</v>
      </c>
      <c r="B32">
        <v>0</v>
      </c>
      <c r="C32" s="63"/>
    </row>
    <row r="33" spans="1:11" x14ac:dyDescent="0.2">
      <c r="A33" t="s">
        <v>8</v>
      </c>
      <c r="B33">
        <v>0</v>
      </c>
    </row>
    <row r="34" spans="1:11" x14ac:dyDescent="0.2">
      <c r="A34" t="s">
        <v>360</v>
      </c>
      <c r="B34">
        <v>0.20300000000000001</v>
      </c>
      <c r="K34" t="s">
        <v>363</v>
      </c>
    </row>
    <row r="35" spans="1:11" x14ac:dyDescent="0.2">
      <c r="A35" t="s">
        <v>361</v>
      </c>
      <c r="B35">
        <v>0.24299999999999999</v>
      </c>
      <c r="K35" t="s">
        <v>362</v>
      </c>
    </row>
    <row r="36" spans="1:11" x14ac:dyDescent="0.2">
      <c r="A36" t="s">
        <v>364</v>
      </c>
      <c r="B36">
        <v>9.4E-2</v>
      </c>
    </row>
    <row r="37" spans="1:11" ht="16" thickBot="1" x14ac:dyDescent="0.25">
      <c r="A37" s="25" t="s">
        <v>159</v>
      </c>
      <c r="E37" t="s">
        <v>246</v>
      </c>
      <c r="G37" t="s">
        <v>247</v>
      </c>
      <c r="I37" t="s">
        <v>248</v>
      </c>
    </row>
    <row r="38" spans="1:11" ht="17" thickBot="1" x14ac:dyDescent="0.25">
      <c r="A38" s="26"/>
      <c r="B38" s="27" t="s">
        <v>160</v>
      </c>
      <c r="C38" s="27" t="s">
        <v>161</v>
      </c>
      <c r="D38" s="27" t="s">
        <v>162</v>
      </c>
      <c r="E38" t="s">
        <v>244</v>
      </c>
      <c r="F38" t="s">
        <v>245</v>
      </c>
      <c r="G38" t="s">
        <v>244</v>
      </c>
      <c r="H38" t="s">
        <v>245</v>
      </c>
      <c r="I38" t="s">
        <v>244</v>
      </c>
      <c r="J38" t="s">
        <v>245</v>
      </c>
    </row>
    <row r="39" spans="1:11" ht="16" thickBot="1" x14ac:dyDescent="0.25">
      <c r="A39" s="78" t="s">
        <v>163</v>
      </c>
      <c r="B39" s="79"/>
      <c r="C39" s="79"/>
      <c r="D39" s="80"/>
    </row>
    <row r="40" spans="1:11" ht="17" thickBot="1" x14ac:dyDescent="0.25">
      <c r="A40" s="28" t="s">
        <v>11</v>
      </c>
      <c r="B40" s="34">
        <v>0.3</v>
      </c>
      <c r="C40" s="29">
        <v>0.55000000000000004</v>
      </c>
      <c r="D40" s="29">
        <v>0.3</v>
      </c>
      <c r="E40">
        <f>0.05+0.02</f>
        <v>7.0000000000000007E-2</v>
      </c>
      <c r="F40">
        <f>0.4+0.25</f>
        <v>0.65</v>
      </c>
      <c r="G40">
        <f>0.05+0.2</f>
        <v>0.25</v>
      </c>
      <c r="H40">
        <f>0.4+0.65</f>
        <v>1.05</v>
      </c>
      <c r="I40">
        <f>0.05+0.02</f>
        <v>7.0000000000000007E-2</v>
      </c>
      <c r="J40">
        <f>0.4+0.25</f>
        <v>0.65</v>
      </c>
    </row>
    <row r="41" spans="1:11" ht="17" thickBot="1" x14ac:dyDescent="0.25">
      <c r="A41" s="28" t="s">
        <v>12</v>
      </c>
      <c r="B41" s="29">
        <v>0.51</v>
      </c>
      <c r="C41" s="29">
        <v>0.76</v>
      </c>
      <c r="D41" s="29">
        <v>0.51</v>
      </c>
      <c r="E41">
        <f>0.22+0.02</f>
        <v>0.24</v>
      </c>
      <c r="F41">
        <f>0.61+0.25</f>
        <v>0.86</v>
      </c>
      <c r="G41">
        <f>0.22+0.2</f>
        <v>0.42000000000000004</v>
      </c>
      <c r="H41">
        <f>0.61+0.65</f>
        <v>1.26</v>
      </c>
      <c r="I41">
        <f>0.22+0.02</f>
        <v>0.24</v>
      </c>
      <c r="J41">
        <f>0.61+0.25</f>
        <v>0.86</v>
      </c>
    </row>
    <row r="42" spans="1:11" ht="17" thickBot="1" x14ac:dyDescent="0.25">
      <c r="A42" s="28" t="s">
        <v>13</v>
      </c>
      <c r="B42" s="29">
        <v>0.3</v>
      </c>
      <c r="C42" s="29">
        <v>0.55000000000000004</v>
      </c>
      <c r="D42" s="29">
        <v>0.3</v>
      </c>
      <c r="E42">
        <f>0.05+0.02</f>
        <v>7.0000000000000007E-2</v>
      </c>
      <c r="F42">
        <f>0.4+0.25</f>
        <v>0.65</v>
      </c>
      <c r="G42">
        <f>0.05+0.2</f>
        <v>0.25</v>
      </c>
      <c r="H42">
        <f>0.4+0.65</f>
        <v>1.05</v>
      </c>
      <c r="I42">
        <f>0.05+0.02</f>
        <v>7.0000000000000007E-2</v>
      </c>
      <c r="J42">
        <f>0.4+0.25</f>
        <v>0.65</v>
      </c>
    </row>
    <row r="43" spans="1:11" ht="17" thickBot="1" x14ac:dyDescent="0.25">
      <c r="A43" s="28" t="s">
        <v>8</v>
      </c>
      <c r="B43" s="29">
        <v>0.19</v>
      </c>
      <c r="C43" s="29">
        <v>0.44</v>
      </c>
      <c r="D43" s="29">
        <v>0.19</v>
      </c>
      <c r="E43">
        <f>0.01+0.02</f>
        <v>0.03</v>
      </c>
      <c r="F43">
        <f>0.22+0.25</f>
        <v>0.47</v>
      </c>
      <c r="G43">
        <f>0.01+0.2</f>
        <v>0.21000000000000002</v>
      </c>
      <c r="H43">
        <f>0.22+0.65</f>
        <v>0.87</v>
      </c>
      <c r="I43">
        <f>0.01+0.02</f>
        <v>0.03</v>
      </c>
      <c r="J43">
        <f>0.22+0.25</f>
        <v>0.47</v>
      </c>
    </row>
    <row r="44" spans="1:11" x14ac:dyDescent="0.2">
      <c r="E44">
        <f>1-EXP(LN(1-E40)/12)</f>
        <v>6.0293080661268927E-3</v>
      </c>
      <c r="F44">
        <f t="shared" ref="F44:J44" si="0">1-EXP(LN(1-F40)/12)</f>
        <v>8.3767547174206425E-2</v>
      </c>
      <c r="G44">
        <f t="shared" si="0"/>
        <v>2.3688424222606752E-2</v>
      </c>
      <c r="H44" t="e">
        <f>1-EXP(LN(1-1)/12)</f>
        <v>#NUM!</v>
      </c>
      <c r="I44">
        <f t="shared" si="0"/>
        <v>6.0293080661268927E-3</v>
      </c>
      <c r="J44">
        <f t="shared" si="0"/>
        <v>8.3767547174206425E-2</v>
      </c>
    </row>
    <row r="45" spans="1:11" x14ac:dyDescent="0.2">
      <c r="A45" s="77" t="s">
        <v>185</v>
      </c>
      <c r="B45" s="77"/>
      <c r="D45" s="30"/>
      <c r="E45">
        <f>1-EXP(LN(1-E41)/12)</f>
        <v>2.261020693073168E-2</v>
      </c>
      <c r="F45">
        <f t="shared" ref="E45:J47" si="1">1-EXP(LN(1-F41)/12)</f>
        <v>0.15112449278250983</v>
      </c>
      <c r="G45">
        <f t="shared" si="1"/>
        <v>4.4379041318108103E-2</v>
      </c>
      <c r="H45" t="e">
        <f t="shared" si="1"/>
        <v>#NUM!</v>
      </c>
      <c r="I45">
        <f t="shared" si="1"/>
        <v>2.261020693073168E-2</v>
      </c>
      <c r="J45">
        <f t="shared" si="1"/>
        <v>0.15112449278250983</v>
      </c>
    </row>
    <row r="46" spans="1:11" ht="80" x14ac:dyDescent="0.2">
      <c r="A46" s="30" t="s">
        <v>186</v>
      </c>
      <c r="B46" s="30">
        <v>0.98</v>
      </c>
      <c r="D46" s="30" t="s">
        <v>340</v>
      </c>
      <c r="E46">
        <f t="shared" si="1"/>
        <v>6.0293080661268927E-3</v>
      </c>
      <c r="F46">
        <f t="shared" si="1"/>
        <v>8.3767547174206425E-2</v>
      </c>
      <c r="G46">
        <f t="shared" si="1"/>
        <v>2.3688424222606752E-2</v>
      </c>
      <c r="H46" t="e">
        <f t="shared" si="1"/>
        <v>#NUM!</v>
      </c>
      <c r="I46">
        <f t="shared" si="1"/>
        <v>6.0293080661268927E-3</v>
      </c>
      <c r="J46">
        <f t="shared" si="1"/>
        <v>8.3767547174206425E-2</v>
      </c>
      <c r="K46" t="s">
        <v>301</v>
      </c>
    </row>
    <row r="47" spans="1:11" ht="32" x14ac:dyDescent="0.2">
      <c r="A47" s="30" t="s">
        <v>187</v>
      </c>
      <c r="B47" s="30">
        <v>0.95</v>
      </c>
      <c r="C47" s="30" t="s">
        <v>188</v>
      </c>
      <c r="D47" s="30" t="s">
        <v>339</v>
      </c>
      <c r="E47">
        <f t="shared" si="1"/>
        <v>2.5350486138366879E-3</v>
      </c>
      <c r="F47">
        <f t="shared" si="1"/>
        <v>5.15313313739999E-2</v>
      </c>
      <c r="G47">
        <f t="shared" si="1"/>
        <v>1.9451850823770211E-2</v>
      </c>
      <c r="H47">
        <f t="shared" si="1"/>
        <v>0.15635070869896095</v>
      </c>
      <c r="I47">
        <f t="shared" si="1"/>
        <v>2.5350486138366879E-3</v>
      </c>
      <c r="J47">
        <f t="shared" si="1"/>
        <v>5.15313313739999E-2</v>
      </c>
      <c r="K47" t="s">
        <v>188</v>
      </c>
    </row>
    <row r="48" spans="1:11" ht="80" x14ac:dyDescent="0.2">
      <c r="A48" s="30" t="s">
        <v>337</v>
      </c>
      <c r="B48" s="30">
        <v>0.85</v>
      </c>
      <c r="D48" s="30" t="s">
        <v>338</v>
      </c>
    </row>
    <row r="49" spans="1:11" ht="48" x14ac:dyDescent="0.2">
      <c r="A49" s="66" t="s">
        <v>190</v>
      </c>
      <c r="B49" s="66">
        <v>0.9</v>
      </c>
      <c r="C49" s="67"/>
      <c r="D49" s="66" t="s">
        <v>191</v>
      </c>
      <c r="K49" t="s">
        <v>301</v>
      </c>
    </row>
    <row r="50" spans="1:11" x14ac:dyDescent="0.2">
      <c r="A50" s="77" t="s">
        <v>192</v>
      </c>
      <c r="B50" s="77"/>
      <c r="D50" s="30"/>
    </row>
    <row r="51" spans="1:11" ht="16" x14ac:dyDescent="0.2">
      <c r="A51" s="30" t="s">
        <v>193</v>
      </c>
      <c r="B51" s="30">
        <v>0.51500000000000001</v>
      </c>
      <c r="C51" t="s">
        <v>235</v>
      </c>
      <c r="D51" s="30" t="s">
        <v>194</v>
      </c>
      <c r="K51" s="30" t="s">
        <v>300</v>
      </c>
    </row>
    <row r="52" spans="1:11" ht="16" x14ac:dyDescent="0.2">
      <c r="A52" s="30" t="s">
        <v>195</v>
      </c>
      <c r="B52" s="30">
        <v>0.1</v>
      </c>
      <c r="D52" s="30"/>
    </row>
    <row r="53" spans="1:11" x14ac:dyDescent="0.2">
      <c r="A53" s="77" t="s">
        <v>196</v>
      </c>
      <c r="B53" s="77"/>
      <c r="D53" s="30"/>
    </row>
    <row r="54" spans="1:11" ht="16" x14ac:dyDescent="0.2">
      <c r="A54" s="30" t="s">
        <v>197</v>
      </c>
      <c r="B54" s="30">
        <f>0.155/0.515</f>
        <v>0.30097087378640774</v>
      </c>
      <c r="D54" s="30" t="s">
        <v>194</v>
      </c>
    </row>
    <row r="55" spans="1:11" ht="16" x14ac:dyDescent="0.2">
      <c r="A55" s="30" t="s">
        <v>198</v>
      </c>
      <c r="B55" s="30">
        <f>0.058/0.515</f>
        <v>0.11262135922330098</v>
      </c>
      <c r="D55" s="30" t="s">
        <v>194</v>
      </c>
    </row>
    <row r="56" spans="1:11" ht="16" x14ac:dyDescent="0.2">
      <c r="A56" s="30" t="s">
        <v>199</v>
      </c>
      <c r="B56" s="30">
        <f>0.093/0.515</f>
        <v>0.18058252427184465</v>
      </c>
      <c r="D56" s="30" t="s">
        <v>194</v>
      </c>
    </row>
    <row r="57" spans="1:11" ht="16" x14ac:dyDescent="0.2">
      <c r="A57" s="30" t="s">
        <v>200</v>
      </c>
      <c r="B57" s="30">
        <f>0.209/0.515</f>
        <v>0.40582524271844655</v>
      </c>
      <c r="D57" s="30" t="s">
        <v>194</v>
      </c>
    </row>
    <row r="58" spans="1:11" x14ac:dyDescent="0.2">
      <c r="A58" s="77" t="s">
        <v>201</v>
      </c>
      <c r="B58" s="77"/>
      <c r="D58" s="30"/>
    </row>
    <row r="59" spans="1:11" ht="16" x14ac:dyDescent="0.2">
      <c r="A59" s="30" t="s">
        <v>202</v>
      </c>
      <c r="B59" s="30">
        <v>0.26</v>
      </c>
      <c r="C59" t="s">
        <v>227</v>
      </c>
      <c r="D59" s="30" t="s">
        <v>203</v>
      </c>
      <c r="K59" t="s">
        <v>227</v>
      </c>
    </row>
    <row r="60" spans="1:11" ht="16" x14ac:dyDescent="0.2">
      <c r="A60" s="30" t="s">
        <v>204</v>
      </c>
      <c r="B60" s="30">
        <v>0.12</v>
      </c>
      <c r="C60" t="s">
        <v>236</v>
      </c>
      <c r="D60" s="30" t="s">
        <v>203</v>
      </c>
      <c r="K60" t="s">
        <v>236</v>
      </c>
    </row>
    <row r="61" spans="1:11" ht="16" x14ac:dyDescent="0.2">
      <c r="A61" s="30" t="s">
        <v>205</v>
      </c>
      <c r="B61" s="30">
        <v>0.106</v>
      </c>
      <c r="D61" s="30" t="s">
        <v>206</v>
      </c>
      <c r="K61" t="s">
        <v>302</v>
      </c>
    </row>
    <row r="62" spans="1:11" ht="16" x14ac:dyDescent="0.2">
      <c r="A62" s="30" t="s">
        <v>207</v>
      </c>
      <c r="B62" s="30">
        <v>0</v>
      </c>
      <c r="D62" s="30" t="s">
        <v>189</v>
      </c>
      <c r="K62" t="s">
        <v>303</v>
      </c>
    </row>
    <row r="63" spans="1:11" ht="16" x14ac:dyDescent="0.2">
      <c r="A63" s="30" t="s">
        <v>208</v>
      </c>
      <c r="B63" s="30">
        <v>0.08</v>
      </c>
      <c r="C63" t="s">
        <v>237</v>
      </c>
      <c r="D63" s="30" t="s">
        <v>203</v>
      </c>
      <c r="K63" t="s">
        <v>237</v>
      </c>
    </row>
    <row r="64" spans="1:11" ht="16" x14ac:dyDescent="0.2">
      <c r="A64" s="30" t="s">
        <v>209</v>
      </c>
      <c r="B64" s="30">
        <v>0.24</v>
      </c>
      <c r="C64" t="s">
        <v>238</v>
      </c>
      <c r="D64" s="30" t="s">
        <v>203</v>
      </c>
      <c r="K64" t="s">
        <v>238</v>
      </c>
    </row>
    <row r="65" spans="1:6" ht="16" x14ac:dyDescent="0.2">
      <c r="A65" s="25" t="s">
        <v>304</v>
      </c>
      <c r="B65" s="32">
        <v>0.05</v>
      </c>
      <c r="D65" s="30" t="s">
        <v>306</v>
      </c>
      <c r="E65" t="s">
        <v>305</v>
      </c>
      <c r="F65" t="s">
        <v>307</v>
      </c>
    </row>
    <row r="66" spans="1:6" ht="16" x14ac:dyDescent="0.2">
      <c r="A66" s="25"/>
      <c r="B66" s="30">
        <v>2.3199999999999998E-2</v>
      </c>
      <c r="D66" s="30" t="s">
        <v>309</v>
      </c>
      <c r="E66" t="s">
        <v>308</v>
      </c>
      <c r="F66" t="s">
        <v>310</v>
      </c>
    </row>
    <row r="67" spans="1:6" x14ac:dyDescent="0.2">
      <c r="A67" s="25"/>
      <c r="E67" t="s">
        <v>312</v>
      </c>
      <c r="F67" t="s">
        <v>311</v>
      </c>
    </row>
  </sheetData>
  <mergeCells count="5">
    <mergeCell ref="A58:B58"/>
    <mergeCell ref="A39:D39"/>
    <mergeCell ref="A45:B45"/>
    <mergeCell ref="A50:B50"/>
    <mergeCell ref="A53:B53"/>
  </mergeCells>
  <phoneticPr fontId="9" type="noConversion"/>
  <hyperlinks>
    <hyperlink ref="D26" r:id="rId1" xr:uid="{00000000-0004-0000-0500-000000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D46D-1C8A-EE48-A244-CEEE3340FC66}">
  <dimension ref="A2:W35"/>
  <sheetViews>
    <sheetView workbookViewId="0">
      <selection activeCell="U18" sqref="U18"/>
    </sheetView>
  </sheetViews>
  <sheetFormatPr baseColWidth="10" defaultRowHeight="15" x14ac:dyDescent="0.2"/>
  <cols>
    <col min="10" max="10" width="11.6640625" customWidth="1"/>
  </cols>
  <sheetData>
    <row r="2" spans="2:21" ht="16" thickBot="1" x14ac:dyDescent="0.25"/>
    <row r="3" spans="2:21" ht="21" thickBot="1" x14ac:dyDescent="0.25">
      <c r="B3" s="53"/>
      <c r="C3" s="72" t="s">
        <v>271</v>
      </c>
      <c r="D3" s="73"/>
      <c r="E3" s="74"/>
      <c r="F3" s="72" t="s">
        <v>272</v>
      </c>
      <c r="G3" s="73"/>
      <c r="H3" s="73"/>
      <c r="I3" s="73"/>
      <c r="J3" s="74"/>
    </row>
    <row r="4" spans="2:21" ht="63" x14ac:dyDescent="0.2">
      <c r="B4" s="75"/>
      <c r="C4" s="75" t="s">
        <v>273</v>
      </c>
      <c r="D4" s="54" t="s">
        <v>274</v>
      </c>
      <c r="E4" s="75" t="s">
        <v>275</v>
      </c>
      <c r="F4" s="75" t="s">
        <v>160</v>
      </c>
      <c r="G4" s="75" t="s">
        <v>161</v>
      </c>
      <c r="H4" s="75" t="s">
        <v>162</v>
      </c>
      <c r="I4" s="75" t="s">
        <v>240</v>
      </c>
      <c r="J4" s="75" t="s">
        <v>276</v>
      </c>
      <c r="Q4" t="s">
        <v>288</v>
      </c>
      <c r="U4" t="s">
        <v>289</v>
      </c>
    </row>
    <row r="5" spans="2:21" ht="43" thickBot="1" x14ac:dyDescent="0.25">
      <c r="B5" s="76"/>
      <c r="C5" s="76"/>
      <c r="D5" s="55" t="s">
        <v>277</v>
      </c>
      <c r="E5" s="76"/>
      <c r="F5" s="76"/>
      <c r="G5" s="76"/>
      <c r="H5" s="76"/>
      <c r="I5" s="76"/>
      <c r="J5" s="76"/>
    </row>
    <row r="6" spans="2:21" ht="22" thickBot="1" x14ac:dyDescent="0.25">
      <c r="B6" s="53" t="s">
        <v>278</v>
      </c>
      <c r="C6" s="53">
        <v>0</v>
      </c>
      <c r="D6" s="53">
        <v>0.13</v>
      </c>
      <c r="E6" s="53">
        <v>0</v>
      </c>
      <c r="F6" s="53">
        <v>0.14925225914092599</v>
      </c>
      <c r="G6" s="53">
        <v>6.2491897646186297E-2</v>
      </c>
      <c r="H6" s="53">
        <v>0.15278468911248699</v>
      </c>
      <c r="I6" s="53">
        <v>8.0970870162769201E-2</v>
      </c>
      <c r="J6" s="64">
        <f>K6</f>
        <v>0.15278468911248699</v>
      </c>
      <c r="K6">
        <f>H6*(1-E6/100) + I6*E6/100</f>
        <v>0.15278468911248699</v>
      </c>
      <c r="L6">
        <f>K6*D6/100</f>
        <v>1.9862009584623312E-4</v>
      </c>
      <c r="N6">
        <f>F6*C6/100</f>
        <v>0</v>
      </c>
      <c r="O6">
        <f>G6*C6/100</f>
        <v>0</v>
      </c>
    </row>
    <row r="7" spans="2:21" ht="21" thickBot="1" x14ac:dyDescent="0.25">
      <c r="B7" s="56">
        <v>43960</v>
      </c>
      <c r="C7" s="57">
        <v>0</v>
      </c>
      <c r="D7" s="57">
        <v>0.03</v>
      </c>
      <c r="E7" s="57">
        <v>0</v>
      </c>
      <c r="F7" s="57">
        <v>0.145600696902381</v>
      </c>
      <c r="G7" s="57">
        <v>6.12965148579789E-2</v>
      </c>
      <c r="H7" s="57">
        <v>0.14965369521429001</v>
      </c>
      <c r="I7" s="57">
        <v>8.0091373976767202E-2</v>
      </c>
      <c r="J7" s="64">
        <f t="shared" ref="J7:J17" si="0">K7</f>
        <v>0.14965369521429001</v>
      </c>
      <c r="K7">
        <f t="shared" ref="K7:K17" si="1">H7*(1-E7/100) + I7*E7/100</f>
        <v>0.14965369521429001</v>
      </c>
      <c r="L7">
        <f t="shared" ref="L7:L17" si="2">K7*D7/100</f>
        <v>4.4896108564287001E-5</v>
      </c>
      <c r="N7">
        <f t="shared" ref="N7:N17" si="3">F7*C7/100</f>
        <v>0</v>
      </c>
      <c r="O7">
        <f t="shared" ref="O7:O17" si="4">G7*C7/100</f>
        <v>0</v>
      </c>
    </row>
    <row r="8" spans="2:21" ht="21" thickBot="1" x14ac:dyDescent="0.25">
      <c r="B8" s="58">
        <v>44118</v>
      </c>
      <c r="C8" s="53">
        <v>0.02</v>
      </c>
      <c r="D8" s="53">
        <v>0.38</v>
      </c>
      <c r="E8" s="53">
        <v>0.04</v>
      </c>
      <c r="F8" s="53">
        <v>0.14133239223907501</v>
      </c>
      <c r="G8" s="53">
        <v>5.9887544736327E-2</v>
      </c>
      <c r="H8" s="53">
        <v>0.145993390062408</v>
      </c>
      <c r="I8" s="53">
        <v>7.9063194259603606E-2</v>
      </c>
      <c r="J8" s="64">
        <f t="shared" si="0"/>
        <v>0.14596661798408689</v>
      </c>
      <c r="K8">
        <f t="shared" si="1"/>
        <v>0.14596661798408689</v>
      </c>
      <c r="L8">
        <f t="shared" si="2"/>
        <v>5.5467314833953021E-4</v>
      </c>
      <c r="N8">
        <f t="shared" si="3"/>
        <v>2.8266478447815004E-5</v>
      </c>
      <c r="O8">
        <f t="shared" si="4"/>
        <v>1.19775089472654E-5</v>
      </c>
      <c r="Q8">
        <f>D8/SUM($D$8:$D$14)</f>
        <v>4.3567988993350147E-3</v>
      </c>
      <c r="R8">
        <f>I8*Q8</f>
        <v>3.4446243772815144E-4</v>
      </c>
      <c r="U8">
        <f>$C$23*D8/100*E8/100</f>
        <v>3.1128840000000001E-2</v>
      </c>
    </row>
    <row r="9" spans="2:21" ht="22" thickBot="1" x14ac:dyDescent="0.25">
      <c r="B9" s="57" t="s">
        <v>279</v>
      </c>
      <c r="C9" s="57">
        <v>4.0599999999999996</v>
      </c>
      <c r="D9" s="57">
        <v>8.7899999999999991</v>
      </c>
      <c r="E9" s="57">
        <v>11.03</v>
      </c>
      <c r="F9" s="57">
        <v>0.136621413742191</v>
      </c>
      <c r="G9" s="57">
        <v>5.8321370269606397E-2</v>
      </c>
      <c r="H9" s="57">
        <v>0.14183185035760101</v>
      </c>
      <c r="I9" s="57">
        <v>7.7894217756526302E-2</v>
      </c>
      <c r="J9" s="64">
        <f t="shared" si="0"/>
        <v>0.13477952948170246</v>
      </c>
      <c r="K9">
        <f t="shared" si="1"/>
        <v>0.13477952948170246</v>
      </c>
      <c r="L9">
        <f t="shared" si="2"/>
        <v>1.1847120641441646E-2</v>
      </c>
      <c r="N9">
        <f t="shared" si="3"/>
        <v>5.5468293979329545E-3</v>
      </c>
      <c r="O9">
        <f t="shared" si="4"/>
        <v>2.3678476329460196E-3</v>
      </c>
      <c r="Q9">
        <f t="shared" ref="Q9:Q13" si="5">D9/SUM($D$8:$D$14)</f>
        <v>0.10077963769777573</v>
      </c>
      <c r="R9">
        <f t="shared" ref="R9:R13" si="6">I9*Q9</f>
        <v>7.8501510442543707E-3</v>
      </c>
      <c r="U9">
        <f t="shared" ref="U9:U14" si="7">$C$23*D9/100*E9/100</f>
        <v>198.55632991499999</v>
      </c>
    </row>
    <row r="10" spans="2:21" ht="22" thickBot="1" x14ac:dyDescent="0.25">
      <c r="B10" s="53" t="s">
        <v>280</v>
      </c>
      <c r="C10" s="53">
        <v>17.59</v>
      </c>
      <c r="D10" s="53">
        <v>22.78</v>
      </c>
      <c r="E10" s="53">
        <v>11.03</v>
      </c>
      <c r="F10" s="53">
        <v>0.1316779713997</v>
      </c>
      <c r="G10" s="53">
        <v>5.6678156333493497E-2</v>
      </c>
      <c r="H10" s="53">
        <v>0.137188314906386</v>
      </c>
      <c r="I10" s="53">
        <v>7.6589848648279002E-2</v>
      </c>
      <c r="J10" s="64">
        <f t="shared" si="0"/>
        <v>0.13050430407811681</v>
      </c>
      <c r="K10">
        <f t="shared" si="1"/>
        <v>0.13050430407811681</v>
      </c>
      <c r="L10">
        <f t="shared" si="2"/>
        <v>2.9728880468995009E-2</v>
      </c>
      <c r="N10">
        <f t="shared" si="3"/>
        <v>2.3162155169207228E-2</v>
      </c>
      <c r="O10">
        <f t="shared" si="4"/>
        <v>9.9696876990615062E-3</v>
      </c>
      <c r="Q10">
        <f t="shared" si="5"/>
        <v>0.26117862875487274</v>
      </c>
      <c r="R10">
        <f t="shared" si="6"/>
        <v>2.0003631646500753E-2</v>
      </c>
      <c r="U10">
        <f t="shared" si="7"/>
        <v>514.57488002999992</v>
      </c>
    </row>
    <row r="11" spans="2:21" ht="22" thickBot="1" x14ac:dyDescent="0.25">
      <c r="B11" s="57" t="s">
        <v>281</v>
      </c>
      <c r="C11" s="57">
        <v>22.44</v>
      </c>
      <c r="D11" s="57">
        <v>21.36</v>
      </c>
      <c r="E11" s="57">
        <v>15.01</v>
      </c>
      <c r="F11" s="57">
        <v>0.12635664859085999</v>
      </c>
      <c r="G11" s="57">
        <v>5.49229312049953E-2</v>
      </c>
      <c r="H11" s="57">
        <v>0.131987394752311</v>
      </c>
      <c r="I11" s="57">
        <v>7.5128910176999894E-2</v>
      </c>
      <c r="J11" s="64">
        <f t="shared" si="0"/>
        <v>0.12345293621755679</v>
      </c>
      <c r="K11">
        <f t="shared" si="1"/>
        <v>0.12345293621755679</v>
      </c>
      <c r="L11">
        <f t="shared" si="2"/>
        <v>2.6369547176070131E-2</v>
      </c>
      <c r="N11">
        <f t="shared" si="3"/>
        <v>2.8354431943788984E-2</v>
      </c>
      <c r="O11">
        <f t="shared" si="4"/>
        <v>1.2324705762400946E-2</v>
      </c>
      <c r="Q11">
        <f t="shared" si="5"/>
        <v>0.24489795918367346</v>
      </c>
      <c r="R11">
        <f t="shared" si="6"/>
        <v>1.8398916778040789E-2</v>
      </c>
      <c r="U11">
        <f t="shared" si="7"/>
        <v>656.60062211999991</v>
      </c>
    </row>
    <row r="12" spans="2:21" ht="22" thickBot="1" x14ac:dyDescent="0.25">
      <c r="B12" s="53" t="s">
        <v>282</v>
      </c>
      <c r="C12" s="53">
        <v>16.04</v>
      </c>
      <c r="D12" s="53">
        <v>14.75</v>
      </c>
      <c r="E12" s="53">
        <v>15.01</v>
      </c>
      <c r="F12" s="53">
        <v>0.120361108049995</v>
      </c>
      <c r="G12" s="53">
        <v>5.2953849061594803E-2</v>
      </c>
      <c r="H12" s="53">
        <v>0.12612570141285301</v>
      </c>
      <c r="I12" s="53">
        <v>7.3482360517946405E-2</v>
      </c>
      <c r="J12" s="64">
        <f t="shared" si="0"/>
        <v>0.11822393594452753</v>
      </c>
      <c r="K12">
        <f t="shared" si="1"/>
        <v>0.11822393594452753</v>
      </c>
      <c r="L12">
        <f t="shared" si="2"/>
        <v>1.743803055181781E-2</v>
      </c>
      <c r="N12">
        <f t="shared" si="3"/>
        <v>1.9305921731219196E-2</v>
      </c>
      <c r="O12">
        <f t="shared" si="4"/>
        <v>8.4937973894798052E-3</v>
      </c>
      <c r="Q12">
        <f t="shared" si="5"/>
        <v>0.16911258885576702</v>
      </c>
      <c r="R12">
        <f t="shared" si="6"/>
        <v>1.2426792222422718E-2</v>
      </c>
      <c r="U12">
        <f t="shared" si="7"/>
        <v>453.41101012500002</v>
      </c>
    </row>
    <row r="13" spans="2:21" ht="22" thickBot="1" x14ac:dyDescent="0.25">
      <c r="B13" s="57" t="s">
        <v>283</v>
      </c>
      <c r="C13" s="57">
        <v>11.7</v>
      </c>
      <c r="D13" s="57">
        <v>11.58</v>
      </c>
      <c r="E13" s="57">
        <v>4.79</v>
      </c>
      <c r="F13" s="57">
        <v>0.113535698148524</v>
      </c>
      <c r="G13" s="57">
        <v>5.0710968291180998E-2</v>
      </c>
      <c r="H13" s="57">
        <v>0.11951099678249801</v>
      </c>
      <c r="I13" s="57">
        <v>7.1624289987276796E-2</v>
      </c>
      <c r="J13" s="64">
        <f t="shared" si="0"/>
        <v>0.11721722352700691</v>
      </c>
      <c r="K13">
        <f t="shared" si="1"/>
        <v>0.11721722352700691</v>
      </c>
      <c r="L13">
        <f t="shared" si="2"/>
        <v>1.3573754484427401E-2</v>
      </c>
      <c r="N13">
        <f t="shared" si="3"/>
        <v>1.3283676683377307E-2</v>
      </c>
      <c r="O13">
        <f t="shared" si="4"/>
        <v>5.9331832900681768E-3</v>
      </c>
      <c r="Q13">
        <f t="shared" si="5"/>
        <v>0.13276771382710387</v>
      </c>
      <c r="R13">
        <f t="shared" si="6"/>
        <v>9.5093932361002657E-3</v>
      </c>
      <c r="U13">
        <f t="shared" si="7"/>
        <v>113.59610019</v>
      </c>
    </row>
    <row r="14" spans="2:21" ht="22" thickBot="1" x14ac:dyDescent="0.25">
      <c r="B14" s="53" t="s">
        <v>284</v>
      </c>
      <c r="C14" s="53">
        <v>7.46</v>
      </c>
      <c r="D14" s="53">
        <v>7.58</v>
      </c>
      <c r="E14" s="53">
        <v>4.79</v>
      </c>
      <c r="F14" s="53">
        <v>0.105775151783568</v>
      </c>
      <c r="G14" s="53">
        <v>4.8149253404133702E-2</v>
      </c>
      <c r="H14" s="53">
        <v>0.112029389922533</v>
      </c>
      <c r="I14" s="53">
        <v>6.9522706620315206E-2</v>
      </c>
      <c r="J14" s="64">
        <f t="shared" si="0"/>
        <v>0.10999331979235676</v>
      </c>
      <c r="K14">
        <f t="shared" si="1"/>
        <v>0.10999331979235676</v>
      </c>
      <c r="L14">
        <f t="shared" si="2"/>
        <v>8.3374936402606428E-3</v>
      </c>
      <c r="N14">
        <f t="shared" si="3"/>
        <v>7.8908263230541738E-3</v>
      </c>
      <c r="O14">
        <f t="shared" si="4"/>
        <v>3.591934303948374E-3</v>
      </c>
      <c r="Q14">
        <f>D14/SUM($D$8:$D$14)</f>
        <v>8.6906672781472141E-2</v>
      </c>
      <c r="R14">
        <f>I14*Q14</f>
        <v>6.0419871151340208E-3</v>
      </c>
      <c r="U14">
        <f t="shared" si="7"/>
        <v>74.357378190000006</v>
      </c>
    </row>
    <row r="15" spans="2:21" ht="22" thickBot="1" x14ac:dyDescent="0.25">
      <c r="B15" s="57" t="s">
        <v>285</v>
      </c>
      <c r="C15" s="57">
        <v>13.96</v>
      </c>
      <c r="D15" s="57">
        <v>8.9700000000000006</v>
      </c>
      <c r="E15" s="57">
        <v>0</v>
      </c>
      <c r="F15" s="57">
        <v>9.15427048671731E-2</v>
      </c>
      <c r="G15" s="57">
        <v>4.3476121326470697E-2</v>
      </c>
      <c r="H15" s="57">
        <v>9.8181472953555698E-2</v>
      </c>
      <c r="I15" s="57">
        <v>6.5632826743726697E-2</v>
      </c>
      <c r="J15" s="64">
        <f t="shared" si="0"/>
        <v>9.8181472953555698E-2</v>
      </c>
      <c r="K15">
        <f t="shared" si="1"/>
        <v>9.8181472953555698E-2</v>
      </c>
      <c r="L15">
        <f t="shared" si="2"/>
        <v>8.8068781239339471E-3</v>
      </c>
      <c r="N15">
        <f t="shared" si="3"/>
        <v>1.2779361599457367E-2</v>
      </c>
      <c r="O15">
        <f t="shared" si="4"/>
        <v>6.0692665371753097E-3</v>
      </c>
      <c r="R15" s="31">
        <f>SUM(R8:R14)</f>
        <v>7.4575334480181069E-2</v>
      </c>
    </row>
    <row r="16" spans="2:21" ht="22" thickBot="1" x14ac:dyDescent="0.25">
      <c r="B16" s="53" t="s">
        <v>286</v>
      </c>
      <c r="C16" s="53">
        <v>5.46</v>
      </c>
      <c r="D16" s="53">
        <v>3.14</v>
      </c>
      <c r="E16" s="53">
        <v>0</v>
      </c>
      <c r="F16" s="53">
        <v>7.1366435974994105E-2</v>
      </c>
      <c r="G16" s="53">
        <v>3.6411654834614303E-2</v>
      </c>
      <c r="H16" s="53">
        <v>7.7675239173228106E-2</v>
      </c>
      <c r="I16" s="53">
        <v>5.9872625674831398E-2</v>
      </c>
      <c r="J16" s="64">
        <f t="shared" si="0"/>
        <v>7.7675239173228106E-2</v>
      </c>
      <c r="K16">
        <f t="shared" si="1"/>
        <v>7.7675239173228106E-2</v>
      </c>
      <c r="L16">
        <f t="shared" si="2"/>
        <v>2.4390025100393623E-3</v>
      </c>
      <c r="N16">
        <f t="shared" si="3"/>
        <v>3.8966074042346781E-3</v>
      </c>
      <c r="O16">
        <f t="shared" si="4"/>
        <v>1.9880763539699407E-3</v>
      </c>
    </row>
    <row r="17" spans="1:23" ht="22" thickBot="1" x14ac:dyDescent="0.25">
      <c r="B17" s="57" t="s">
        <v>239</v>
      </c>
      <c r="C17" s="57">
        <v>1.22</v>
      </c>
      <c r="D17" s="57">
        <v>0.51</v>
      </c>
      <c r="E17" s="57">
        <v>0</v>
      </c>
      <c r="F17" s="57">
        <v>3.6996421366001897E-2</v>
      </c>
      <c r="G17" s="57">
        <v>2.409172396953E-2</v>
      </c>
      <c r="H17" s="57">
        <v>3.9833313584693997E-2</v>
      </c>
      <c r="I17" s="57">
        <v>4.9242828777011E-2</v>
      </c>
      <c r="J17" s="64">
        <f t="shared" si="0"/>
        <v>3.9833313584693997E-2</v>
      </c>
      <c r="K17">
        <f t="shared" si="1"/>
        <v>3.9833313584693997E-2</v>
      </c>
      <c r="L17">
        <f t="shared" si="2"/>
        <v>2.031498992819394E-4</v>
      </c>
      <c r="N17">
        <f t="shared" si="3"/>
        <v>4.5135634066522317E-4</v>
      </c>
      <c r="O17">
        <f t="shared" si="4"/>
        <v>2.9391903242826598E-4</v>
      </c>
    </row>
    <row r="18" spans="1:23" ht="43" thickBot="1" x14ac:dyDescent="0.25">
      <c r="B18" s="53" t="s">
        <v>287</v>
      </c>
      <c r="C18" s="59"/>
      <c r="D18" s="59"/>
      <c r="E18" s="59"/>
      <c r="F18" s="53">
        <v>0.12</v>
      </c>
      <c r="G18" s="53">
        <v>0.05</v>
      </c>
      <c r="H18" s="59"/>
      <c r="I18" s="60"/>
      <c r="J18" s="61">
        <v>0.12</v>
      </c>
      <c r="L18" s="31">
        <f>SUM(L6:L17)</f>
        <v>0.11954204684901795</v>
      </c>
      <c r="N18" s="31">
        <f>SUM(N6:N17)</f>
        <v>0.11469943307138492</v>
      </c>
      <c r="O18" s="31">
        <f>SUM(O6:O17)</f>
        <v>5.1044395510425611E-2</v>
      </c>
      <c r="U18" s="31">
        <f>SUM(U8:U14)</f>
        <v>2011.1274494100001</v>
      </c>
      <c r="V18" s="31">
        <f>U18*R15</f>
        <v>149.98050222202417</v>
      </c>
      <c r="W18" t="s">
        <v>335</v>
      </c>
    </row>
    <row r="19" spans="1:23" x14ac:dyDescent="0.2">
      <c r="N19" s="31">
        <f>0.22*N18+0.78*O18</f>
        <v>6.5048503773836655E-2</v>
      </c>
      <c r="U19" s="31"/>
      <c r="V19" s="31">
        <f>5.659*U18</f>
        <v>11380.970236211189</v>
      </c>
      <c r="W19" t="s">
        <v>336</v>
      </c>
    </row>
    <row r="20" spans="1:23" x14ac:dyDescent="0.2">
      <c r="B20" t="s">
        <v>290</v>
      </c>
      <c r="C20" t="s">
        <v>291</v>
      </c>
    </row>
    <row r="21" spans="1:23" x14ac:dyDescent="0.2">
      <c r="A21" t="s">
        <v>161</v>
      </c>
      <c r="B21">
        <f>16905 + 1855</f>
        <v>18760</v>
      </c>
      <c r="C21">
        <f>B21*4.1</f>
        <v>76916</v>
      </c>
      <c r="D21" s="24">
        <f>B21/$B$24</f>
        <v>0.64310445305268926</v>
      </c>
      <c r="E21" s="31">
        <f>O18</f>
        <v>5.1044395510425611E-2</v>
      </c>
      <c r="F21" s="31">
        <f>C21*E21</f>
        <v>3926.1307250798964</v>
      </c>
      <c r="H21">
        <f>F21/F22</f>
        <v>1.5414909244025747</v>
      </c>
    </row>
    <row r="22" spans="1:23" x14ac:dyDescent="0.2">
      <c r="A22" t="s">
        <v>160</v>
      </c>
      <c r="B22">
        <v>5416</v>
      </c>
      <c r="C22">
        <f t="shared" ref="C22:C23" si="8">B22*4.1</f>
        <v>22205.599999999999</v>
      </c>
      <c r="D22" s="24">
        <f>B22/$B$24</f>
        <v>0.18566384422885743</v>
      </c>
      <c r="E22" s="31">
        <f>N18</f>
        <v>0.11469943307138492</v>
      </c>
      <c r="F22" s="31">
        <f>C22*E22</f>
        <v>2546.9697310099446</v>
      </c>
      <c r="G22">
        <f>SUM(F21:F22)</f>
        <v>6473.1004560898409</v>
      </c>
    </row>
    <row r="23" spans="1:23" x14ac:dyDescent="0.2">
      <c r="A23" t="s">
        <v>268</v>
      </c>
      <c r="B23">
        <v>4995</v>
      </c>
      <c r="C23">
        <f t="shared" si="8"/>
        <v>20479.5</v>
      </c>
      <c r="D23" s="24">
        <f>B23/$B$24</f>
        <v>0.17123170271845325</v>
      </c>
      <c r="E23" s="65">
        <f>J18</f>
        <v>0.12</v>
      </c>
      <c r="F23" s="31">
        <f>C23*E23</f>
        <v>2457.54</v>
      </c>
    </row>
    <row r="24" spans="1:23" x14ac:dyDescent="0.2">
      <c r="B24">
        <f>SUM(B21:B23)</f>
        <v>29171</v>
      </c>
      <c r="C24">
        <f>SUM(C21:C23)</f>
        <v>119601.1</v>
      </c>
      <c r="E24" s="31">
        <f>E21*D21+D22*E22+D23*E23</f>
        <v>7.4670220057255668E-2</v>
      </c>
      <c r="F24" s="31">
        <f>C24*E24</f>
        <v>8930.6404560898409</v>
      </c>
      <c r="G24">
        <f>SUM(F21:F23)</f>
        <v>8930.6404560898409</v>
      </c>
    </row>
    <row r="26" spans="1:23" x14ac:dyDescent="0.2">
      <c r="A26" t="s">
        <v>351</v>
      </c>
      <c r="C26">
        <v>1306</v>
      </c>
    </row>
    <row r="27" spans="1:23" x14ac:dyDescent="0.2">
      <c r="C27">
        <f>C26/C23</f>
        <v>6.3771088161332062E-2</v>
      </c>
    </row>
    <row r="34" spans="4:7" x14ac:dyDescent="0.2">
      <c r="D34">
        <v>21.65</v>
      </c>
      <c r="E34">
        <f>D34/SUM(D34:D35)</f>
        <v>0.25089813419863255</v>
      </c>
      <c r="F34">
        <v>24</v>
      </c>
      <c r="G34">
        <f>F34/SUM(F34:F35)</f>
        <v>0.20168067226890757</v>
      </c>
    </row>
    <row r="35" spans="4:7" x14ac:dyDescent="0.2">
      <c r="D35">
        <f>57.64+7</f>
        <v>64.64</v>
      </c>
      <c r="E35">
        <f>D35/SUM(D34:D35)</f>
        <v>0.74910186580136751</v>
      </c>
      <c r="F35">
        <v>95</v>
      </c>
      <c r="G35">
        <f>F35/SUM(F34:F35)</f>
        <v>0.79831932773109249</v>
      </c>
    </row>
  </sheetData>
  <mergeCells count="10">
    <mergeCell ref="C3:E3"/>
    <mergeCell ref="F3:J3"/>
    <mergeCell ref="B4:B5"/>
    <mergeCell ref="C4:C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A1CB-3985-534D-9729-F54F02EF95B8}">
  <dimension ref="A1:F14"/>
  <sheetViews>
    <sheetView tabSelected="1" workbookViewId="0">
      <selection activeCell="E34" sqref="E34"/>
    </sheetView>
  </sheetViews>
  <sheetFormatPr baseColWidth="10" defaultRowHeight="15" x14ac:dyDescent="0.2"/>
  <sheetData>
    <row r="1" spans="1:6" x14ac:dyDescent="0.2">
      <c r="A1" t="s">
        <v>323</v>
      </c>
      <c r="B1" t="s">
        <v>321</v>
      </c>
      <c r="C1" t="s">
        <v>320</v>
      </c>
      <c r="D1" t="s">
        <v>331</v>
      </c>
      <c r="F1" t="s">
        <v>341</v>
      </c>
    </row>
    <row r="2" spans="1:6" x14ac:dyDescent="0.2">
      <c r="A2" t="s">
        <v>322</v>
      </c>
      <c r="B2">
        <v>0.77100000000000002</v>
      </c>
      <c r="C2" t="s">
        <v>316</v>
      </c>
      <c r="D2">
        <f>B9</f>
        <v>6.0000000000000001E-3</v>
      </c>
      <c r="F2">
        <f>B2/SUM($B$2:$B$4)</f>
        <v>0.78353658536585358</v>
      </c>
    </row>
    <row r="3" spans="1:6" x14ac:dyDescent="0.2">
      <c r="A3" t="s">
        <v>324</v>
      </c>
      <c r="B3">
        <v>0.16700000000000001</v>
      </c>
      <c r="C3" t="s">
        <v>317</v>
      </c>
      <c r="D3">
        <f>B9+C13</f>
        <v>0.12869764327966662</v>
      </c>
      <c r="F3">
        <f>B3/SUM($B$2:$B$4)</f>
        <v>0.16971544715447154</v>
      </c>
    </row>
    <row r="4" spans="1:6" x14ac:dyDescent="0.2">
      <c r="A4" t="s">
        <v>325</v>
      </c>
      <c r="B4">
        <v>4.5999999999999999E-2</v>
      </c>
      <c r="C4" t="s">
        <v>318</v>
      </c>
      <c r="D4">
        <f>D3</f>
        <v>0.12869764327966662</v>
      </c>
      <c r="F4">
        <f>B4/SUM($B$2:$B$4)</f>
        <v>4.6747967479674794E-2</v>
      </c>
    </row>
    <row r="5" spans="1:6" x14ac:dyDescent="0.2">
      <c r="A5" t="s">
        <v>319</v>
      </c>
      <c r="B5">
        <v>1.6E-2</v>
      </c>
      <c r="C5" t="s">
        <v>326</v>
      </c>
    </row>
    <row r="8" spans="1:6" x14ac:dyDescent="0.2">
      <c r="A8" t="s">
        <v>327</v>
      </c>
    </row>
    <row r="9" spans="1:6" x14ac:dyDescent="0.2">
      <c r="A9" t="s">
        <v>328</v>
      </c>
      <c r="B9" s="31">
        <f>parameter_all!B30</f>
        <v>6.0000000000000001E-3</v>
      </c>
      <c r="F9">
        <v>0.03</v>
      </c>
    </row>
    <row r="10" spans="1:6" x14ac:dyDescent="0.2">
      <c r="A10" t="s">
        <v>329</v>
      </c>
      <c r="B10">
        <v>1</v>
      </c>
      <c r="C10">
        <f>parameter_all!B31</f>
        <v>4.1000000000000002E-2</v>
      </c>
    </row>
    <row r="11" spans="1:6" x14ac:dyDescent="0.2">
      <c r="B11">
        <v>2</v>
      </c>
      <c r="C11">
        <f>C10/((1+F9)^(1/12))</f>
        <v>4.08991317077557E-2</v>
      </c>
    </row>
    <row r="12" spans="1:6" x14ac:dyDescent="0.2">
      <c r="B12">
        <v>3</v>
      </c>
      <c r="C12">
        <f>C11/((1+F9)^(1/12))</f>
        <v>4.079851157191091E-2</v>
      </c>
    </row>
    <row r="13" spans="1:6" x14ac:dyDescent="0.2">
      <c r="C13" s="31">
        <f>SUM(C10:C12)</f>
        <v>0.12269764327966662</v>
      </c>
    </row>
    <row r="14" spans="1:6" x14ac:dyDescent="0.2">
      <c r="A14" t="s">
        <v>330</v>
      </c>
      <c r="C14">
        <f>parameter_all!B32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"/>
  <sheetViews>
    <sheetView workbookViewId="0">
      <selection activeCell="D11" sqref="D11"/>
    </sheetView>
  </sheetViews>
  <sheetFormatPr baseColWidth="10" defaultColWidth="9.1640625" defaultRowHeight="15" x14ac:dyDescent="0.2"/>
  <sheetData>
    <row r="1" spans="1:28" x14ac:dyDescent="0.2">
      <c r="A1" t="s">
        <v>164</v>
      </c>
      <c r="B1" t="s">
        <v>24</v>
      </c>
      <c r="C1" t="s">
        <v>25</v>
      </c>
      <c r="D1" t="s">
        <v>26</v>
      </c>
      <c r="E1" t="s">
        <v>165</v>
      </c>
      <c r="F1" t="s">
        <v>178</v>
      </c>
      <c r="G1" t="s">
        <v>177</v>
      </c>
      <c r="H1" t="s">
        <v>179</v>
      </c>
      <c r="I1" t="s">
        <v>28</v>
      </c>
      <c r="J1" t="s">
        <v>154</v>
      </c>
      <c r="K1" t="s">
        <v>150</v>
      </c>
      <c r="L1" t="s">
        <v>151</v>
      </c>
      <c r="M1" t="s">
        <v>152</v>
      </c>
      <c r="N1" t="s">
        <v>153</v>
      </c>
      <c r="O1" t="s">
        <v>29</v>
      </c>
      <c r="P1" t="s">
        <v>30</v>
      </c>
      <c r="Q1" t="s">
        <v>27</v>
      </c>
      <c r="R1" t="s">
        <v>166</v>
      </c>
      <c r="S1" t="s">
        <v>167</v>
      </c>
      <c r="T1" t="s">
        <v>170</v>
      </c>
      <c r="U1" t="s">
        <v>171</v>
      </c>
      <c r="V1" t="s">
        <v>184</v>
      </c>
      <c r="W1" t="s">
        <v>169</v>
      </c>
      <c r="X1" t="s">
        <v>168</v>
      </c>
      <c r="Y1" t="s">
        <v>172</v>
      </c>
      <c r="Z1" t="s">
        <v>173</v>
      </c>
      <c r="AA1" t="s">
        <v>174</v>
      </c>
      <c r="AB1" t="s">
        <v>175</v>
      </c>
    </row>
    <row r="2" spans="1:28" x14ac:dyDescent="0.2">
      <c r="A2">
        <f>parameter_all!B3</f>
        <v>0.7</v>
      </c>
      <c r="B2">
        <v>0.33</v>
      </c>
      <c r="C2">
        <v>0.05</v>
      </c>
      <c r="D2">
        <f>1-EXP(LN(1-parameter_all!B10)/H2)</f>
        <v>5.2381098238585277E-4</v>
      </c>
      <c r="E2">
        <f>parameter_all!B4</f>
        <v>3.6</v>
      </c>
      <c r="F2">
        <f>parameter_all!B5</f>
        <v>7.7</v>
      </c>
      <c r="G2">
        <f>parameter_all!B17*12</f>
        <v>240</v>
      </c>
      <c r="H2">
        <f>12*parameter_all!B18</f>
        <v>180</v>
      </c>
      <c r="I2">
        <f>1-EXP(LN(1-parameter_all!B12)/G2)</f>
        <v>1.1979571776040698E-3</v>
      </c>
      <c r="J2">
        <f>1-EXP(LN(1-parameter_all!B13)/6)</f>
        <v>0.18181117699997296</v>
      </c>
      <c r="K2">
        <f>1-EXP(LN(1-parameter_all!C40)/12)</f>
        <v>6.4376669349901605E-2</v>
      </c>
      <c r="L2">
        <f>1-EXP(LN(1-parameter_all!C41)/12)</f>
        <v>0.1121268213013128</v>
      </c>
      <c r="M2">
        <f>1-EXP(LN(1-parameter_all!C42)/12)</f>
        <v>6.4376669349901605E-2</v>
      </c>
      <c r="N2">
        <f>1-EXP(LN(1-parameter_all!C43)/12)</f>
        <v>4.7169459408998082E-2</v>
      </c>
      <c r="O2">
        <v>0.95</v>
      </c>
      <c r="P2">
        <v>0.81</v>
      </c>
      <c r="Q2">
        <v>0</v>
      </c>
      <c r="R2">
        <f>1-parameter_all!B30</f>
        <v>0.99399999999999999</v>
      </c>
      <c r="S2">
        <f>1-parameter_all!B31</f>
        <v>0.95899999999999996</v>
      </c>
      <c r="T2">
        <f>1-parameter_all!B32</f>
        <v>1</v>
      </c>
      <c r="U2">
        <f>1-parameter_all!B33</f>
        <v>1</v>
      </c>
      <c r="V2">
        <f>1-parameter_all!B35</f>
        <v>0.75700000000000001</v>
      </c>
      <c r="W2">
        <f>1-parameter_all!B36</f>
        <v>0.90600000000000003</v>
      </c>
      <c r="X2">
        <f>1-parameter_all!B65</f>
        <v>0.95</v>
      </c>
      <c r="Y2">
        <f>1-parameter_all!B34</f>
        <v>0.79699999999999993</v>
      </c>
      <c r="Z2">
        <v>1</v>
      </c>
      <c r="AA2">
        <v>0</v>
      </c>
      <c r="AB2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"/>
  <sheetViews>
    <sheetView workbookViewId="0">
      <selection activeCell="V2" sqref="V2:W2"/>
    </sheetView>
  </sheetViews>
  <sheetFormatPr baseColWidth="10" defaultColWidth="9.1640625" defaultRowHeight="15" x14ac:dyDescent="0.2"/>
  <sheetData>
    <row r="1" spans="1:28" x14ac:dyDescent="0.2">
      <c r="A1" t="s">
        <v>164</v>
      </c>
      <c r="B1" t="s">
        <v>24</v>
      </c>
      <c r="C1" t="s">
        <v>25</v>
      </c>
      <c r="D1" t="s">
        <v>26</v>
      </c>
      <c r="E1" t="s">
        <v>165</v>
      </c>
      <c r="F1" t="s">
        <v>178</v>
      </c>
      <c r="G1" t="s">
        <v>177</v>
      </c>
      <c r="H1" t="s">
        <v>179</v>
      </c>
      <c r="I1" t="s">
        <v>28</v>
      </c>
      <c r="J1" t="s">
        <v>154</v>
      </c>
      <c r="K1" t="s">
        <v>150</v>
      </c>
      <c r="L1" t="s">
        <v>151</v>
      </c>
      <c r="M1" t="s">
        <v>152</v>
      </c>
      <c r="N1" t="s">
        <v>153</v>
      </c>
      <c r="O1" t="s">
        <v>29</v>
      </c>
      <c r="P1" t="s">
        <v>30</v>
      </c>
      <c r="Q1" t="s">
        <v>27</v>
      </c>
      <c r="R1" t="s">
        <v>166</v>
      </c>
      <c r="S1" t="s">
        <v>167</v>
      </c>
      <c r="T1" t="s">
        <v>170</v>
      </c>
      <c r="U1" t="s">
        <v>171</v>
      </c>
      <c r="V1" t="s">
        <v>184</v>
      </c>
      <c r="W1" t="s">
        <v>169</v>
      </c>
      <c r="X1" t="s">
        <v>168</v>
      </c>
      <c r="Y1" t="s">
        <v>172</v>
      </c>
      <c r="Z1" t="s">
        <v>173</v>
      </c>
      <c r="AA1" t="s">
        <v>174</v>
      </c>
      <c r="AB1" t="s">
        <v>175</v>
      </c>
    </row>
    <row r="2" spans="1:28" x14ac:dyDescent="0.2">
      <c r="A2">
        <f>parameter_all!B3</f>
        <v>0.7</v>
      </c>
      <c r="B2">
        <v>0.33</v>
      </c>
      <c r="C2">
        <v>0.05</v>
      </c>
      <c r="D2">
        <f>1-EXP(LN(1-parameter_all!B10)/H2)</f>
        <v>5.2381098238585277E-4</v>
      </c>
      <c r="E2">
        <f>parameter_all!B4</f>
        <v>3.6</v>
      </c>
      <c r="F2">
        <f>parameter_all!B5</f>
        <v>7.7</v>
      </c>
      <c r="G2">
        <f>parameter_all!B17*12</f>
        <v>240</v>
      </c>
      <c r="H2">
        <f>12*parameter_all!B18</f>
        <v>180</v>
      </c>
      <c r="I2">
        <f>1-EXP(LN(1-parameter_all!B12)/G2)</f>
        <v>1.1979571776040698E-3</v>
      </c>
      <c r="J2">
        <f>1-EXP(LN(1-parameter_all!B13)/6)</f>
        <v>0.18181117699997296</v>
      </c>
      <c r="K2">
        <f>1-EXP(LN(1-parameter_all!D40)/12)</f>
        <v>2.9285530376777613E-2</v>
      </c>
      <c r="L2">
        <f>1-EXP(LN(1-parameter_all!D41)/12)</f>
        <v>5.7713418464106159E-2</v>
      </c>
      <c r="M2">
        <f>1-EXP(LN(1-parameter_all!D42)/12)</f>
        <v>2.9285530376777613E-2</v>
      </c>
      <c r="N2">
        <f>1-EXP(LN(1-parameter_all!D43)/12)</f>
        <v>1.7406806147310161E-2</v>
      </c>
      <c r="O2">
        <v>0.95</v>
      </c>
      <c r="P2">
        <v>0.81</v>
      </c>
      <c r="Q2">
        <v>0</v>
      </c>
      <c r="R2">
        <f>1-parameter_all!B30</f>
        <v>0.99399999999999999</v>
      </c>
      <c r="S2">
        <f>1-parameter_all!B31</f>
        <v>0.95899999999999996</v>
      </c>
      <c r="T2">
        <f>1-parameter_all!B32</f>
        <v>1</v>
      </c>
      <c r="U2">
        <f>1-parameter_all!B33</f>
        <v>1</v>
      </c>
      <c r="V2">
        <f>1-parameter_all!B35</f>
        <v>0.75700000000000001</v>
      </c>
      <c r="W2">
        <f>1-parameter_all!B36</f>
        <v>0.90600000000000003</v>
      </c>
      <c r="X2">
        <f>1-parameter_all!B65</f>
        <v>0.95</v>
      </c>
      <c r="Y2">
        <f>1-parameter_all!B34</f>
        <v>0.79699999999999993</v>
      </c>
      <c r="Z2">
        <v>1</v>
      </c>
      <c r="AA2">
        <v>0</v>
      </c>
      <c r="AB2"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"/>
  <sheetViews>
    <sheetView topLeftCell="AD1" workbookViewId="0">
      <selection activeCell="BA1" sqref="BA1"/>
    </sheetView>
  </sheetViews>
  <sheetFormatPr baseColWidth="10" defaultColWidth="9.1640625" defaultRowHeight="15" x14ac:dyDescent="0.2"/>
  <sheetData>
    <row r="1" spans="1:53" x14ac:dyDescent="0.2">
      <c r="A1" t="s">
        <v>164</v>
      </c>
      <c r="B1" t="s">
        <v>24</v>
      </c>
      <c r="C1" t="s">
        <v>25</v>
      </c>
      <c r="D1" t="s">
        <v>26</v>
      </c>
      <c r="E1" t="s">
        <v>165</v>
      </c>
      <c r="F1" t="s">
        <v>178</v>
      </c>
      <c r="G1" t="s">
        <v>177</v>
      </c>
      <c r="H1" t="s">
        <v>179</v>
      </c>
      <c r="I1" t="s">
        <v>28</v>
      </c>
      <c r="J1" t="s">
        <v>154</v>
      </c>
      <c r="K1" t="s">
        <v>150</v>
      </c>
      <c r="L1" t="s">
        <v>151</v>
      </c>
      <c r="M1" t="s">
        <v>152</v>
      </c>
      <c r="N1" t="s">
        <v>153</v>
      </c>
      <c r="O1" t="s">
        <v>29</v>
      </c>
      <c r="P1" t="s">
        <v>30</v>
      </c>
      <c r="Q1" t="s">
        <v>27</v>
      </c>
      <c r="R1" t="s">
        <v>166</v>
      </c>
      <c r="S1" t="s">
        <v>167</v>
      </c>
      <c r="T1" t="s">
        <v>170</v>
      </c>
      <c r="U1" t="s">
        <v>171</v>
      </c>
      <c r="V1" t="s">
        <v>184</v>
      </c>
      <c r="W1" t="s">
        <v>169</v>
      </c>
      <c r="X1" t="s">
        <v>168</v>
      </c>
      <c r="Y1" t="s">
        <v>172</v>
      </c>
      <c r="Z1" t="s">
        <v>173</v>
      </c>
      <c r="AA1" t="s">
        <v>174</v>
      </c>
      <c r="AB1" t="s">
        <v>175</v>
      </c>
      <c r="AC1" t="s">
        <v>219</v>
      </c>
      <c r="AD1" t="s">
        <v>220</v>
      </c>
      <c r="AE1" t="s">
        <v>221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313</v>
      </c>
      <c r="AO1" t="s">
        <v>314</v>
      </c>
      <c r="AP1" t="s">
        <v>315</v>
      </c>
      <c r="AQ1" t="s">
        <v>332</v>
      </c>
      <c r="AR1" t="s">
        <v>333</v>
      </c>
      <c r="AS1" t="s">
        <v>334</v>
      </c>
      <c r="AT1" t="s">
        <v>346</v>
      </c>
      <c r="AU1" t="s">
        <v>347</v>
      </c>
      <c r="AV1" t="s">
        <v>218</v>
      </c>
      <c r="AW1" t="s">
        <v>348</v>
      </c>
      <c r="AX1" t="s">
        <v>349</v>
      </c>
      <c r="AY1" t="s">
        <v>350</v>
      </c>
      <c r="AZ1" t="s">
        <v>358</v>
      </c>
      <c r="BA1" t="s">
        <v>369</v>
      </c>
    </row>
    <row r="2" spans="1:53" x14ac:dyDescent="0.2">
      <c r="A2">
        <f>parameter_all!B3</f>
        <v>0.7</v>
      </c>
      <c r="B2">
        <v>0.33</v>
      </c>
      <c r="C2">
        <v>0.05</v>
      </c>
      <c r="D2">
        <f>1-EXP(LN(1-parameter_all!B10)/H2)</f>
        <v>5.2381098238585277E-4</v>
      </c>
      <c r="E2">
        <f>parameter_all!B4</f>
        <v>3.6</v>
      </c>
      <c r="F2">
        <f>parameter_all!B5</f>
        <v>7.7</v>
      </c>
      <c r="G2">
        <f>parameter_all!B17*12</f>
        <v>240</v>
      </c>
      <c r="H2">
        <f>12*parameter_all!B18</f>
        <v>180</v>
      </c>
      <c r="I2">
        <f>1-EXP(LN(1-parameter_all!B12)/G2)</f>
        <v>1.1979571776040698E-3</v>
      </c>
      <c r="J2">
        <f>1-EXP(LN(1-parameter_all!B13)/6)</f>
        <v>0.18181117699997296</v>
      </c>
      <c r="K2">
        <f>1-EXP(LN(1-parameter_all!B40)/12)</f>
        <v>2.9285530376777613E-2</v>
      </c>
      <c r="L2">
        <f>1-EXP(LN(1-parameter_all!B41)/12)</f>
        <v>5.7713418464106159E-2</v>
      </c>
      <c r="M2">
        <f>1-EXP(LN(1-parameter_all!B42)/12)</f>
        <v>2.9285530376777613E-2</v>
      </c>
      <c r="N2">
        <f>1-EXP(LN(1-parameter_all!B43)/12)</f>
        <v>1.7406806147310161E-2</v>
      </c>
      <c r="O2">
        <v>0.95</v>
      </c>
      <c r="P2">
        <v>0.81</v>
      </c>
      <c r="Q2">
        <v>0</v>
      </c>
      <c r="R2">
        <f>1-parameter_all!B30</f>
        <v>0.99399999999999999</v>
      </c>
      <c r="S2">
        <f>1-parameter_all!B31</f>
        <v>0.95899999999999996</v>
      </c>
      <c r="T2">
        <f>1-parameter_all!B32</f>
        <v>1</v>
      </c>
      <c r="U2">
        <f>1-parameter_all!B33</f>
        <v>1</v>
      </c>
      <c r="V2">
        <f>1-parameter_all!B35</f>
        <v>0.75700000000000001</v>
      </c>
      <c r="W2">
        <f>1-parameter_all!B36</f>
        <v>0.90600000000000003</v>
      </c>
      <c r="X2">
        <f>1-parameter_all!B65</f>
        <v>0.95</v>
      </c>
      <c r="Y2">
        <f>1-parameter_all!B34</f>
        <v>0.79699999999999993</v>
      </c>
      <c r="Z2">
        <v>1</v>
      </c>
      <c r="AA2">
        <v>0</v>
      </c>
      <c r="AB2">
        <v>0</v>
      </c>
      <c r="AC2">
        <f>parameter_all!B46</f>
        <v>0.98</v>
      </c>
      <c r="AD2">
        <f>parameter_all!B47</f>
        <v>0.95</v>
      </c>
      <c r="AE2">
        <f>parameter_all!B48</f>
        <v>0.85</v>
      </c>
      <c r="AF2">
        <f>parameter_all!B60</f>
        <v>0.12</v>
      </c>
      <c r="AG2">
        <f>parameter_all!B59</f>
        <v>0.26</v>
      </c>
      <c r="AH2">
        <f>parameter_all!B62</f>
        <v>0</v>
      </c>
      <c r="AI2">
        <f>parameter_all!B61</f>
        <v>0.106</v>
      </c>
      <c r="AJ2">
        <f>parameter_all!B63</f>
        <v>0.08</v>
      </c>
      <c r="AK2">
        <v>1</v>
      </c>
      <c r="AL2">
        <f>parameter_all!B64</f>
        <v>0.24</v>
      </c>
      <c r="AM2">
        <v>1</v>
      </c>
      <c r="AN2">
        <f>pregStageatDiag!F2</f>
        <v>0.78353658536585358</v>
      </c>
      <c r="AO2">
        <f>pregStageatDiag!F3</f>
        <v>0.16971544715447154</v>
      </c>
      <c r="AP2">
        <f>pregStageatDiag!F4</f>
        <v>4.6747967479674794E-2</v>
      </c>
      <c r="AQ2">
        <f>pregStageatDiag!D2</f>
        <v>6.0000000000000001E-3</v>
      </c>
      <c r="AR2">
        <f>pregStageatDiag!D3</f>
        <v>0.12869764327966662</v>
      </c>
      <c r="AS2">
        <f>pregStageatDiag!D3</f>
        <v>0.12869764327966662</v>
      </c>
      <c r="AT2">
        <v>0.33</v>
      </c>
      <c r="AU2">
        <v>0.61</v>
      </c>
      <c r="AV2">
        <v>0.06</v>
      </c>
      <c r="AW2">
        <v>0.27</v>
      </c>
      <c r="AX2">
        <f>1-AW2</f>
        <v>0.73</v>
      </c>
      <c r="AY2">
        <f>LifetimeQALYloss_CS!S8</f>
        <v>28.479608644510101</v>
      </c>
      <c r="AZ2">
        <f>1-EXP(LN(1-AC2*AD2*AE2)/12)</f>
        <v>0.12242374107655052</v>
      </c>
      <c r="BA2">
        <f>LifetimeQALYloss_CS!V8</f>
        <v>70.045374135750706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E630-1353-144C-A7FB-9577E900592B}">
  <dimension ref="A1:G13"/>
  <sheetViews>
    <sheetView workbookViewId="0">
      <selection activeCell="H26" sqref="H26"/>
    </sheetView>
  </sheetViews>
  <sheetFormatPr baseColWidth="10" defaultRowHeight="15" x14ac:dyDescent="0.2"/>
  <sheetData>
    <row r="1" spans="1:7" x14ac:dyDescent="0.2">
      <c r="A1" t="s">
        <v>148</v>
      </c>
      <c r="B1" t="s">
        <v>357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</row>
    <row r="2" spans="1:7" x14ac:dyDescent="0.2">
      <c r="A2">
        <v>0</v>
      </c>
      <c r="B2">
        <v>0</v>
      </c>
      <c r="C2">
        <f>(nonpreg_women!$K$2)*(100-$B2)/100+$B2/100*preg_women!$AC$2*preg_women!$AZ$2</f>
        <v>2.9285530376777613E-2</v>
      </c>
      <c r="D2">
        <f>(nonpreg_women!$L$2)*(100-$B2)/100+$B2/100*preg_women!$AC$2*preg_women!$AZ$2</f>
        <v>5.7713418464106159E-2</v>
      </c>
      <c r="E2">
        <f>(nonpreg_women!$M$2)*(100-$B2)/100+$B2/100*preg_women!$AC$2*preg_women!$AZ$2</f>
        <v>2.9285530376777613E-2</v>
      </c>
      <c r="F2">
        <f>(nonpreg_women!$N$2)*(100-$B2)/100+$B2/100*preg_women!$AC$2*preg_women!$AZ$2</f>
        <v>1.7406806147310161E-2</v>
      </c>
      <c r="G2">
        <f>(nonpreg_women!$J$2)*(100-$B2)/100+$B2/100*preg_women!$AC$2*preg_women!$AZ$2</f>
        <v>0.18181117699997296</v>
      </c>
    </row>
    <row r="3" spans="1:7" x14ac:dyDescent="0.2">
      <c r="A3">
        <v>5</v>
      </c>
      <c r="B3">
        <v>0</v>
      </c>
      <c r="C3">
        <f>(nonpreg_women!$K$2)*(100-$B3)/100+$B3/100*preg_women!$AC$2*preg_women!$AZ$2</f>
        <v>2.9285530376777613E-2</v>
      </c>
      <c r="D3">
        <f>(nonpreg_women!$L$2)*(100-$B3)/100+$B3/100*preg_women!$AC$2*preg_women!$AZ$2</f>
        <v>5.7713418464106159E-2</v>
      </c>
      <c r="E3">
        <f>(nonpreg_women!$M$2)*(100-$B3)/100+$B3/100*preg_women!$AC$2*preg_women!$AZ$2</f>
        <v>2.9285530376777613E-2</v>
      </c>
      <c r="F3">
        <f>(nonpreg_women!$N$2)*(100-$B3)/100+$B3/100*preg_women!$AC$2*preg_women!$AZ$2</f>
        <v>1.7406806147310161E-2</v>
      </c>
      <c r="G3">
        <f>(nonpreg_women!$J$2)*(100-$B3)/100+$B3/100*preg_women!$AC$2*preg_women!$AZ$2</f>
        <v>0.18181117699997296</v>
      </c>
    </row>
    <row r="4" spans="1:7" x14ac:dyDescent="0.2">
      <c r="A4">
        <v>10</v>
      </c>
      <c r="B4">
        <v>0.04</v>
      </c>
      <c r="C4">
        <f>(nonpreg_women!$K$2)*(100-$B4)/100+$B4/100*preg_women!$AC$2*preg_women!$AZ$2</f>
        <v>2.932180627112891E-2</v>
      </c>
      <c r="D4">
        <f>(nonpreg_women!$L$2)*(100-$B4)/100+$B4/100*preg_women!$AC$2*preg_women!$AZ$2</f>
        <v>5.7738323203222516E-2</v>
      </c>
      <c r="E4">
        <f>(nonpreg_women!$M$2)*(100-$B4)/100+$B4/100*preg_women!$AC$2*preg_women!$AZ$2</f>
        <v>2.932180627112891E-2</v>
      </c>
      <c r="F4">
        <f>(nonpreg_women!$N$2)*(100-$B4)/100+$B4/100*preg_women!$AC$2*preg_women!$AZ$2</f>
        <v>1.7447833531353242E-2</v>
      </c>
      <c r="G4">
        <f>(nonpreg_women!$J$2)*(100-$B4)/100+$B4/100*preg_women!$AC$2*preg_women!$AZ$2</f>
        <v>0.18178644263567495</v>
      </c>
    </row>
    <row r="5" spans="1:7" x14ac:dyDescent="0.2">
      <c r="A5">
        <v>15</v>
      </c>
      <c r="B5">
        <v>11.03</v>
      </c>
      <c r="C5">
        <f>(nonpreg_women!$K$2)*(100-$B5)/100+$B5/100*preg_women!$AC$2*preg_women!$AZ$2</f>
        <v>3.9288608244147691E-2</v>
      </c>
      <c r="D5">
        <f>(nonpreg_women!$L$2)*(100-$B5)/100+$B5/100*preg_women!$AC$2*preg_women!$AZ$2</f>
        <v>6.45809002754439E-2</v>
      </c>
      <c r="E5">
        <f>(nonpreg_women!$M$2)*(100-$B5)/100+$B5/100*preg_women!$AC$2*preg_women!$AZ$2</f>
        <v>3.9288608244147691E-2</v>
      </c>
      <c r="F5">
        <f>(nonpreg_women!$N$2)*(100-$B5)/100+$B5/100*preg_women!$AC$2*preg_women!$AZ$2</f>
        <v>2.87201072971905E-2</v>
      </c>
      <c r="G5">
        <f>(nonpreg_women!$J$2)*(100-$B5)/100+$B5/100*preg_women!$AC$2*preg_women!$AZ$2</f>
        <v>0.17499067604480456</v>
      </c>
    </row>
    <row r="6" spans="1:7" x14ac:dyDescent="0.2">
      <c r="A6">
        <v>20</v>
      </c>
      <c r="B6">
        <v>11.03</v>
      </c>
      <c r="C6">
        <f>(nonpreg_women!$K$2)*(100-$B6)/100+$B6/100*preg_women!$AC$2*preg_women!$AZ$2</f>
        <v>3.9288608244147691E-2</v>
      </c>
      <c r="D6">
        <f>(nonpreg_women!$L$2)*(100-$B6)/100+$B6/100*preg_women!$AC$2*preg_women!$AZ$2</f>
        <v>6.45809002754439E-2</v>
      </c>
      <c r="E6">
        <f>(nonpreg_women!$M$2)*(100-$B6)/100+$B6/100*preg_women!$AC$2*preg_women!$AZ$2</f>
        <v>3.9288608244147691E-2</v>
      </c>
      <c r="F6">
        <f>(nonpreg_women!$N$2)*(100-$B6)/100+$B6/100*preg_women!$AC$2*preg_women!$AZ$2</f>
        <v>2.87201072971905E-2</v>
      </c>
      <c r="G6">
        <f>(nonpreg_women!$J$2)*(100-$B6)/100+$B6/100*preg_women!$AC$2*preg_women!$AZ$2</f>
        <v>0.17499067604480456</v>
      </c>
    </row>
    <row r="7" spans="1:7" x14ac:dyDescent="0.2">
      <c r="A7">
        <v>25</v>
      </c>
      <c r="B7">
        <v>15.01</v>
      </c>
      <c r="C7">
        <f>(nonpreg_women!$K$2)*(100-$B7)/100+$B7/100*preg_women!$AC$2*preg_women!$AZ$2</f>
        <v>4.2898059732101715E-2</v>
      </c>
      <c r="D7">
        <f>(nonpreg_women!$L$2)*(100-$B7)/100+$B7/100*preg_women!$AC$2*preg_women!$AZ$2</f>
        <v>6.7058921817522252E-2</v>
      </c>
      <c r="E7">
        <f>(nonpreg_women!$M$2)*(100-$B7)/100+$B7/100*preg_women!$AC$2*preg_women!$AZ$2</f>
        <v>4.2898059732101715E-2</v>
      </c>
      <c r="F7">
        <f>(nonpreg_women!$N$2)*(100-$B7)/100+$B7/100*preg_women!$AC$2*preg_women!$AZ$2</f>
        <v>3.2802332009477332E-2</v>
      </c>
      <c r="G7">
        <f>(nonpreg_women!$J$2)*(100-$B7)/100+$B7/100*preg_women!$AC$2*preg_women!$AZ$2</f>
        <v>0.17252960679715543</v>
      </c>
    </row>
    <row r="8" spans="1:7" x14ac:dyDescent="0.2">
      <c r="A8">
        <v>30</v>
      </c>
      <c r="B8">
        <v>15.01</v>
      </c>
      <c r="C8">
        <f>(nonpreg_women!$K$2)*(100-$B8)/100+$B8/100*preg_women!$AC$2*preg_women!$AZ$2</f>
        <v>4.2898059732101715E-2</v>
      </c>
      <c r="D8">
        <f>(nonpreg_women!$L$2)*(100-$B8)/100+$B8/100*preg_women!$AC$2*preg_women!$AZ$2</f>
        <v>6.7058921817522252E-2</v>
      </c>
      <c r="E8">
        <f>(nonpreg_women!$M$2)*(100-$B8)/100+$B8/100*preg_women!$AC$2*preg_women!$AZ$2</f>
        <v>4.2898059732101715E-2</v>
      </c>
      <c r="F8">
        <f>(nonpreg_women!$N$2)*(100-$B8)/100+$B8/100*preg_women!$AC$2*preg_women!$AZ$2</f>
        <v>3.2802332009477332E-2</v>
      </c>
      <c r="G8">
        <f>(nonpreg_women!$J$2)*(100-$B8)/100+$B8/100*preg_women!$AC$2*preg_women!$AZ$2</f>
        <v>0.17252960679715543</v>
      </c>
    </row>
    <row r="9" spans="1:7" x14ac:dyDescent="0.2">
      <c r="A9">
        <v>35</v>
      </c>
      <c r="B9">
        <v>4.79</v>
      </c>
      <c r="C9">
        <f>(nonpreg_women!$K$2)*(100-$B9)/100+$B9/100*preg_women!$AC$2*preg_women!$AZ$2</f>
        <v>3.3629568725345393E-2</v>
      </c>
      <c r="D9">
        <f>(nonpreg_women!$L$2)*(100-$B9)/100+$B9/100*preg_women!$AC$2*preg_women!$AZ$2</f>
        <v>6.0695760973290901E-2</v>
      </c>
      <c r="E9">
        <f>(nonpreg_women!$M$2)*(100-$B9)/100+$B9/100*preg_women!$AC$2*preg_women!$AZ$2</f>
        <v>3.3629568725345393E-2</v>
      </c>
      <c r="F9">
        <f>(nonpreg_women!$N$2)*(100-$B9)/100+$B9/100*preg_women!$AC$2*preg_women!$AZ$2</f>
        <v>2.2319835386469436E-2</v>
      </c>
      <c r="G9">
        <f>(nonpreg_women!$J$2)*(100-$B9)/100+$B9/100*preg_women!$AC$2*preg_women!$AZ$2</f>
        <v>0.17884923687528964</v>
      </c>
    </row>
    <row r="10" spans="1:7" x14ac:dyDescent="0.2">
      <c r="A10">
        <v>40</v>
      </c>
      <c r="B10">
        <v>4.79</v>
      </c>
      <c r="C10">
        <f>(nonpreg_women!$K$2)*(100-$B10)/100+$B10/100*preg_women!$AC$2*preg_women!$AZ$2</f>
        <v>3.3629568725345393E-2</v>
      </c>
      <c r="D10">
        <f>(nonpreg_women!$L$2)*(100-$B10)/100+$B10/100*preg_women!$AC$2*preg_women!$AZ$2</f>
        <v>6.0695760973290901E-2</v>
      </c>
      <c r="E10">
        <f>(nonpreg_women!$M$2)*(100-$B10)/100+$B10/100*preg_women!$AC$2*preg_women!$AZ$2</f>
        <v>3.3629568725345393E-2</v>
      </c>
      <c r="F10">
        <f>(nonpreg_women!$N$2)*(100-$B10)/100+$B10/100*preg_women!$AC$2*preg_women!$AZ$2</f>
        <v>2.2319835386469436E-2</v>
      </c>
      <c r="G10">
        <f>(nonpreg_women!$J$2)*(100-$B10)/100+$B10/100*preg_women!$AC$2*preg_women!$AZ$2</f>
        <v>0.17884923687528964</v>
      </c>
    </row>
    <row r="11" spans="1:7" x14ac:dyDescent="0.2">
      <c r="A11">
        <v>45</v>
      </c>
      <c r="B11">
        <v>0</v>
      </c>
      <c r="C11">
        <f>(nonpreg_women!$K$2)*(100-$B11)/100+$B11/100*preg_women!$AC$2*preg_women!$AZ$2</f>
        <v>2.9285530376777613E-2</v>
      </c>
      <c r="D11">
        <f>(nonpreg_women!$L$2)*(100-$B11)/100+$B11/100*preg_women!$AC$2*preg_women!$AZ$2</f>
        <v>5.7713418464106159E-2</v>
      </c>
      <c r="E11">
        <f>(nonpreg_women!$M$2)*(100-$B11)/100+$B11/100*preg_women!$AC$2*preg_women!$AZ$2</f>
        <v>2.9285530376777613E-2</v>
      </c>
      <c r="F11">
        <f>(nonpreg_women!$N$2)*(100-$B11)/100+$B11/100*preg_women!$AC$2*preg_women!$AZ$2</f>
        <v>1.7406806147310161E-2</v>
      </c>
      <c r="G11">
        <f>(nonpreg_women!$J$2)*(100-$B11)/100+$B11/100*preg_women!$AC$2*preg_women!$AZ$2</f>
        <v>0.18181117699997296</v>
      </c>
    </row>
    <row r="12" spans="1:7" x14ac:dyDescent="0.2">
      <c r="A12">
        <v>55</v>
      </c>
      <c r="B12">
        <v>0</v>
      </c>
      <c r="C12">
        <f>(nonpreg_women!$K$2)*(100-$B12)/100+$B12/100*preg_women!$AC$2*preg_women!$AZ$2</f>
        <v>2.9285530376777613E-2</v>
      </c>
      <c r="D12">
        <f>(nonpreg_women!$L$2)*(100-$B12)/100+$B12/100*preg_women!$AC$2*preg_women!$AZ$2</f>
        <v>5.7713418464106159E-2</v>
      </c>
      <c r="E12">
        <f>(nonpreg_women!$M$2)*(100-$B12)/100+$B12/100*preg_women!$AC$2*preg_women!$AZ$2</f>
        <v>2.9285530376777613E-2</v>
      </c>
      <c r="F12">
        <f>(nonpreg_women!$N$2)*(100-$B12)/100+$B12/100*preg_women!$AC$2*preg_women!$AZ$2</f>
        <v>1.7406806147310161E-2</v>
      </c>
      <c r="G12">
        <f>(nonpreg_women!$J$2)*(100-$B12)/100+$B12/100*preg_women!$AC$2*preg_women!$AZ$2</f>
        <v>0.18181117699997296</v>
      </c>
    </row>
    <row r="13" spans="1:7" x14ac:dyDescent="0.2">
      <c r="A13">
        <v>65</v>
      </c>
      <c r="B13">
        <v>0</v>
      </c>
      <c r="C13">
        <f>(nonpreg_women!$K$2)*(100-$B13)/100+$B13/100*preg_women!$AC$2*preg_women!$AZ$2</f>
        <v>2.9285530376777613E-2</v>
      </c>
      <c r="D13">
        <f>(nonpreg_women!$L$2)*(100-$B13)/100+$B13/100*preg_women!$AC$2*preg_women!$AZ$2</f>
        <v>5.7713418464106159E-2</v>
      </c>
      <c r="E13">
        <f>(nonpreg_women!$M$2)*(100-$B13)/100+$B13/100*preg_women!$AC$2*preg_women!$AZ$2</f>
        <v>2.9285530376777613E-2</v>
      </c>
      <c r="F13">
        <f>(nonpreg_women!$N$2)*(100-$B13)/100+$B13/100*preg_women!$AC$2*preg_women!$AZ$2</f>
        <v>1.7406806147310161E-2</v>
      </c>
      <c r="G13">
        <f>(nonpreg_women!$J$2)*(100-$B13)/100+$B13/100*preg_women!$AC$2*preg_women!$AZ$2</f>
        <v>0.18181117699997296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AADB-C7D2-C845-8033-DB38DF6D7AA5}">
  <dimension ref="A1:V132"/>
  <sheetViews>
    <sheetView workbookViewId="0">
      <selection activeCell="F4" sqref="F4"/>
    </sheetView>
  </sheetViews>
  <sheetFormatPr baseColWidth="10" defaultRowHeight="15" x14ac:dyDescent="0.2"/>
  <sheetData>
    <row r="1" spans="1:22" x14ac:dyDescent="0.2">
      <c r="A1" t="s">
        <v>370</v>
      </c>
    </row>
    <row r="2" spans="1:22" x14ac:dyDescent="0.2">
      <c r="A2" t="s">
        <v>344</v>
      </c>
    </row>
    <row r="3" spans="1:22" x14ac:dyDescent="0.2">
      <c r="B3" t="s">
        <v>265</v>
      </c>
    </row>
    <row r="6" spans="1:22" ht="16" thickBot="1" x14ac:dyDescent="0.25">
      <c r="B6" t="s">
        <v>261</v>
      </c>
      <c r="Q6" t="s">
        <v>270</v>
      </c>
    </row>
    <row r="7" spans="1:22" ht="16" thickBot="1" x14ac:dyDescent="0.25">
      <c r="B7" s="69" t="s">
        <v>249</v>
      </c>
      <c r="C7" s="70"/>
      <c r="D7" s="70"/>
      <c r="E7" s="70"/>
      <c r="F7" s="70"/>
      <c r="G7" s="70"/>
      <c r="H7" s="70"/>
      <c r="I7" s="70"/>
      <c r="J7" s="70"/>
      <c r="K7" s="71"/>
      <c r="P7" t="s">
        <v>266</v>
      </c>
      <c r="Q7" t="s">
        <v>368</v>
      </c>
      <c r="R7" t="s">
        <v>269</v>
      </c>
      <c r="S7" t="s">
        <v>365</v>
      </c>
      <c r="T7" t="s">
        <v>367</v>
      </c>
      <c r="U7" t="s">
        <v>269</v>
      </c>
      <c r="V7" t="s">
        <v>366</v>
      </c>
    </row>
    <row r="8" spans="1:22" ht="30" x14ac:dyDescent="0.25">
      <c r="B8" s="35" t="s">
        <v>241</v>
      </c>
      <c r="C8" s="36" t="s">
        <v>250</v>
      </c>
      <c r="D8" s="36" t="s">
        <v>251</v>
      </c>
      <c r="E8" s="36" t="s">
        <v>252</v>
      </c>
      <c r="F8" s="37"/>
      <c r="G8" s="36" t="s">
        <v>253</v>
      </c>
      <c r="H8" s="38">
        <v>0.25</v>
      </c>
      <c r="I8" s="38">
        <v>0.5</v>
      </c>
      <c r="J8" s="38">
        <v>0.75</v>
      </c>
      <c r="K8" s="39" t="s">
        <v>254</v>
      </c>
      <c r="P8" t="s">
        <v>267</v>
      </c>
      <c r="Q8">
        <f>F131</f>
        <v>28.207543833032119</v>
      </c>
      <c r="R8">
        <f>1.047/(1.047+1)</f>
        <v>0.51148021494870544</v>
      </c>
      <c r="S8" s="52">
        <f>Q8*R8+Q9*R9</f>
        <v>28.479608644510101</v>
      </c>
      <c r="T8">
        <f>E131</f>
        <v>68.129463305533477</v>
      </c>
      <c r="U8">
        <f>1.047/(1.047+1)</f>
        <v>0.51148021494870544</v>
      </c>
      <c r="V8" s="52">
        <f>T8*U8+T9*U9</f>
        <v>70.045374135750706</v>
      </c>
    </row>
    <row r="9" spans="1:22" x14ac:dyDescent="0.2">
      <c r="B9" s="40" t="s">
        <v>342</v>
      </c>
      <c r="C9" s="41">
        <v>0.84699999999999998</v>
      </c>
      <c r="D9" s="41">
        <v>0.92200000000000004</v>
      </c>
      <c r="E9" s="41">
        <v>0.86199999999999999</v>
      </c>
      <c r="F9" s="42"/>
      <c r="G9" s="43">
        <v>0.34499999999999997</v>
      </c>
      <c r="H9" s="43">
        <v>0.8</v>
      </c>
      <c r="I9" s="43">
        <v>0.86299999999999999</v>
      </c>
      <c r="J9" s="43">
        <v>0.92200000000000004</v>
      </c>
      <c r="K9" s="44">
        <v>1</v>
      </c>
      <c r="P9" t="s">
        <v>268</v>
      </c>
      <c r="Q9">
        <f>O131</f>
        <v>28.764460502127552</v>
      </c>
      <c r="R9">
        <f>1-R8</f>
        <v>0.48851978505129456</v>
      </c>
      <c r="T9">
        <f>N131</f>
        <v>72.051332774988126</v>
      </c>
      <c r="U9">
        <f>1-U8</f>
        <v>0.48851978505129456</v>
      </c>
    </row>
    <row r="10" spans="1:22" x14ac:dyDescent="0.2">
      <c r="B10" s="40" t="s">
        <v>255</v>
      </c>
      <c r="C10" s="41">
        <v>0.83199999999999996</v>
      </c>
      <c r="D10" s="41">
        <v>0.90100000000000002</v>
      </c>
      <c r="E10" s="41">
        <v>0.84599999999999997</v>
      </c>
      <c r="F10" s="42"/>
      <c r="G10" s="43">
        <v>0.34499999999999997</v>
      </c>
      <c r="H10" s="43">
        <v>0.78200000000000003</v>
      </c>
      <c r="I10" s="43">
        <v>0.86299999999999999</v>
      </c>
      <c r="J10" s="43">
        <v>0.92200000000000004</v>
      </c>
      <c r="K10" s="44">
        <v>1</v>
      </c>
    </row>
    <row r="11" spans="1:22" x14ac:dyDescent="0.2">
      <c r="B11" s="40" t="s">
        <v>256</v>
      </c>
      <c r="C11" s="41">
        <v>0.81299999999999994</v>
      </c>
      <c r="D11" s="41">
        <v>0.871</v>
      </c>
      <c r="E11" s="41">
        <v>0.82499999999999996</v>
      </c>
      <c r="F11" s="42"/>
      <c r="G11" s="43">
        <v>0.34499999999999997</v>
      </c>
      <c r="H11" s="43">
        <v>0.73699999999999999</v>
      </c>
      <c r="I11" s="43">
        <v>0.86299999999999999</v>
      </c>
      <c r="J11" s="43">
        <v>0.92200000000000004</v>
      </c>
      <c r="K11" s="44">
        <v>1</v>
      </c>
    </row>
    <row r="12" spans="1:22" x14ac:dyDescent="0.2">
      <c r="B12" s="40" t="s">
        <v>257</v>
      </c>
      <c r="C12" s="41">
        <v>0.79</v>
      </c>
      <c r="D12" s="41">
        <v>0.84199999999999997</v>
      </c>
      <c r="E12" s="41">
        <v>0.80600000000000005</v>
      </c>
      <c r="F12" s="42"/>
      <c r="G12" s="43">
        <v>0.34499999999999997</v>
      </c>
      <c r="H12" s="43">
        <v>0.71899999999999997</v>
      </c>
      <c r="I12" s="43">
        <v>0.85899999999999999</v>
      </c>
      <c r="J12" s="43">
        <v>0.92200000000000004</v>
      </c>
      <c r="K12" s="44">
        <v>1</v>
      </c>
    </row>
    <row r="13" spans="1:22" x14ac:dyDescent="0.2">
      <c r="B13" s="40" t="s">
        <v>258</v>
      </c>
      <c r="C13" s="41">
        <v>0.78200000000000003</v>
      </c>
      <c r="D13" s="41">
        <v>0.82299999999999995</v>
      </c>
      <c r="E13" s="41">
        <v>0.80300000000000005</v>
      </c>
      <c r="F13" s="42"/>
      <c r="G13" s="43">
        <v>0.34499999999999997</v>
      </c>
      <c r="H13" s="43">
        <v>0.68100000000000005</v>
      </c>
      <c r="I13" s="43">
        <v>0.85899999999999999</v>
      </c>
      <c r="J13" s="43">
        <v>0.92200000000000004</v>
      </c>
      <c r="K13" s="44">
        <v>1</v>
      </c>
    </row>
    <row r="14" spans="1:22" ht="20" x14ac:dyDescent="0.25">
      <c r="B14" s="40" t="s">
        <v>259</v>
      </c>
      <c r="C14" s="41">
        <v>0.76</v>
      </c>
      <c r="D14" s="41">
        <v>0.79</v>
      </c>
      <c r="E14" s="41">
        <v>0.78500000000000003</v>
      </c>
      <c r="F14" s="42"/>
      <c r="G14" s="43">
        <v>0.34499999999999997</v>
      </c>
      <c r="H14" s="43">
        <v>0.66</v>
      </c>
      <c r="I14" s="43">
        <v>0.8</v>
      </c>
      <c r="J14" s="43">
        <v>0.92200000000000004</v>
      </c>
      <c r="K14" s="44">
        <v>1</v>
      </c>
      <c r="S14" s="68"/>
      <c r="V14" s="68"/>
    </row>
    <row r="15" spans="1:22" ht="16" thickBot="1" x14ac:dyDescent="0.25">
      <c r="B15" s="45" t="s">
        <v>260</v>
      </c>
      <c r="C15" s="46">
        <v>0.67600000000000005</v>
      </c>
      <c r="D15" s="46">
        <v>0.73599999999999999</v>
      </c>
      <c r="E15" s="46">
        <v>0.71899999999999997</v>
      </c>
      <c r="F15" s="47"/>
      <c r="G15" s="48">
        <v>0.34499999999999997</v>
      </c>
      <c r="H15" s="48">
        <v>0.57999999999999996</v>
      </c>
      <c r="I15" s="48">
        <v>0.70599999999999996</v>
      </c>
      <c r="J15" s="48">
        <v>0.86299999999999999</v>
      </c>
      <c r="K15" s="49">
        <v>1</v>
      </c>
    </row>
    <row r="17" spans="2:15" ht="16" thickBot="1" x14ac:dyDescent="0.25">
      <c r="B17" s="50" t="s">
        <v>242</v>
      </c>
    </row>
    <row r="18" spans="2:15" ht="16" thickBot="1" x14ac:dyDescent="0.25">
      <c r="B18" s="69" t="s">
        <v>249</v>
      </c>
      <c r="C18" s="70"/>
      <c r="D18" s="70"/>
      <c r="E18" s="70"/>
      <c r="F18" s="70"/>
      <c r="G18" s="70"/>
      <c r="H18" s="70"/>
      <c r="I18" s="70"/>
      <c r="J18" s="70"/>
      <c r="K18" s="71"/>
    </row>
    <row r="19" spans="2:15" ht="30" x14ac:dyDescent="0.2">
      <c r="B19" s="35" t="s">
        <v>241</v>
      </c>
      <c r="C19" s="36" t="s">
        <v>250</v>
      </c>
      <c r="D19" s="36" t="s">
        <v>251</v>
      </c>
      <c r="E19" s="36" t="s">
        <v>252</v>
      </c>
      <c r="F19" s="37"/>
      <c r="G19" s="36" t="s">
        <v>253</v>
      </c>
      <c r="H19" s="38">
        <v>0.25</v>
      </c>
      <c r="I19" s="38">
        <v>0.5</v>
      </c>
      <c r="J19" s="38">
        <v>0.75</v>
      </c>
      <c r="K19" s="39" t="s">
        <v>254</v>
      </c>
    </row>
    <row r="20" spans="2:15" x14ac:dyDescent="0.2">
      <c r="B20" s="40" t="s">
        <v>342</v>
      </c>
      <c r="C20" s="41">
        <v>0.81200000000000006</v>
      </c>
      <c r="D20" s="41">
        <v>0.92200000000000004</v>
      </c>
      <c r="E20" s="41">
        <v>0.82499999999999996</v>
      </c>
      <c r="F20" s="42"/>
      <c r="G20" s="43">
        <v>0.34499999999999997</v>
      </c>
      <c r="H20" s="43">
        <v>0.73699999999999999</v>
      </c>
      <c r="I20" s="43">
        <v>0.85899999999999999</v>
      </c>
      <c r="J20" s="43">
        <v>0.92200000000000004</v>
      </c>
      <c r="K20" s="44">
        <v>1</v>
      </c>
    </row>
    <row r="21" spans="2:15" x14ac:dyDescent="0.2">
      <c r="B21" s="40" t="s">
        <v>255</v>
      </c>
      <c r="C21" s="41">
        <v>0.80100000000000005</v>
      </c>
      <c r="D21" s="41">
        <v>0.90100000000000002</v>
      </c>
      <c r="E21" s="41">
        <v>0.81299999999999994</v>
      </c>
      <c r="F21" s="42"/>
      <c r="G21" s="43">
        <v>0.34499999999999997</v>
      </c>
      <c r="H21" s="43">
        <v>0.73399999999999999</v>
      </c>
      <c r="I21" s="43">
        <v>0.85899999999999999</v>
      </c>
      <c r="J21" s="43">
        <v>0.92200000000000004</v>
      </c>
      <c r="K21" s="44">
        <v>1</v>
      </c>
    </row>
    <row r="22" spans="2:15" x14ac:dyDescent="0.2">
      <c r="B22" s="40" t="s">
        <v>256</v>
      </c>
      <c r="C22" s="41">
        <v>0.78300000000000003</v>
      </c>
      <c r="D22" s="41">
        <v>0.871</v>
      </c>
      <c r="E22" s="41">
        <v>0.79500000000000004</v>
      </c>
      <c r="F22" s="42"/>
      <c r="G22" s="43">
        <v>0.34499999999999997</v>
      </c>
      <c r="H22" s="43">
        <v>0.71599999999999997</v>
      </c>
      <c r="I22" s="43">
        <v>0.8</v>
      </c>
      <c r="J22" s="43">
        <v>0.92200000000000004</v>
      </c>
      <c r="K22" s="44">
        <v>1</v>
      </c>
    </row>
    <row r="23" spans="2:15" x14ac:dyDescent="0.2">
      <c r="B23" s="40" t="s">
        <v>257</v>
      </c>
      <c r="C23" s="41">
        <v>0.76</v>
      </c>
      <c r="D23" s="41">
        <v>0.84199999999999997</v>
      </c>
      <c r="E23" s="41">
        <v>0.77600000000000002</v>
      </c>
      <c r="F23" s="42"/>
      <c r="G23" s="43">
        <v>0.34499999999999997</v>
      </c>
      <c r="H23" s="43">
        <v>0.66</v>
      </c>
      <c r="I23" s="43">
        <v>0.8</v>
      </c>
      <c r="J23" s="43">
        <v>0.86299999999999999</v>
      </c>
      <c r="K23" s="44">
        <v>1</v>
      </c>
    </row>
    <row r="24" spans="2:15" x14ac:dyDescent="0.2">
      <c r="B24" s="40" t="s">
        <v>258</v>
      </c>
      <c r="C24" s="41">
        <v>0.76300000000000001</v>
      </c>
      <c r="D24" s="41">
        <v>0.82299999999999995</v>
      </c>
      <c r="E24" s="41">
        <v>0.78200000000000003</v>
      </c>
      <c r="F24" s="42"/>
      <c r="G24" s="43">
        <v>0.34499999999999997</v>
      </c>
      <c r="H24" s="43">
        <v>0.66</v>
      </c>
      <c r="I24" s="43">
        <v>0.8</v>
      </c>
      <c r="J24" s="43">
        <v>0.86299999999999999</v>
      </c>
      <c r="K24" s="44">
        <v>1</v>
      </c>
    </row>
    <row r="25" spans="2:15" x14ac:dyDescent="0.2">
      <c r="B25" s="40" t="s">
        <v>259</v>
      </c>
      <c r="C25" s="41">
        <v>0.71799999999999997</v>
      </c>
      <c r="D25" s="41">
        <v>0.79</v>
      </c>
      <c r="E25" s="41">
        <v>0.74299999999999999</v>
      </c>
      <c r="F25" s="42"/>
      <c r="G25" s="43">
        <v>0.34499999999999997</v>
      </c>
      <c r="H25" s="43">
        <v>0.61199999999999999</v>
      </c>
      <c r="I25" s="43">
        <v>0.73699999999999999</v>
      </c>
      <c r="J25" s="43">
        <v>0.85899999999999999</v>
      </c>
      <c r="K25" s="44">
        <v>1</v>
      </c>
    </row>
    <row r="26" spans="2:15" ht="16" thickBot="1" x14ac:dyDescent="0.25">
      <c r="B26" s="45" t="s">
        <v>260</v>
      </c>
      <c r="C26" s="46">
        <v>0.67300000000000004</v>
      </c>
      <c r="D26" s="46">
        <v>0.73599999999999999</v>
      </c>
      <c r="E26" s="46">
        <v>0.70899999999999996</v>
      </c>
      <c r="F26" s="47"/>
      <c r="G26" s="48">
        <v>0.34499999999999997</v>
      </c>
      <c r="H26" s="48">
        <v>0.56999999999999995</v>
      </c>
      <c r="I26" s="48">
        <v>0.68100000000000005</v>
      </c>
      <c r="J26" s="48">
        <v>0.8</v>
      </c>
      <c r="K26" s="49">
        <v>1</v>
      </c>
    </row>
    <row r="28" spans="2:15" x14ac:dyDescent="0.2">
      <c r="C28" t="s">
        <v>261</v>
      </c>
      <c r="L28" t="s">
        <v>242</v>
      </c>
    </row>
    <row r="29" spans="2:15" x14ac:dyDescent="0.2">
      <c r="B29" t="s">
        <v>148</v>
      </c>
      <c r="C29" t="s">
        <v>262</v>
      </c>
      <c r="D29" t="s">
        <v>263</v>
      </c>
      <c r="E29" t="s">
        <v>264</v>
      </c>
      <c r="F29" t="s">
        <v>343</v>
      </c>
      <c r="K29" t="s">
        <v>148</v>
      </c>
      <c r="L29" t="s">
        <v>262</v>
      </c>
      <c r="M29" t="s">
        <v>263</v>
      </c>
      <c r="N29" t="s">
        <v>264</v>
      </c>
      <c r="O29" t="s">
        <v>343</v>
      </c>
    </row>
    <row r="30" spans="2:15" x14ac:dyDescent="0.2">
      <c r="B30">
        <v>0</v>
      </c>
      <c r="C30">
        <v>6.3023469410836697E-3</v>
      </c>
      <c r="D30">
        <v>1</v>
      </c>
      <c r="E30">
        <f>D30*1</f>
        <v>1</v>
      </c>
      <c r="F30">
        <f>E30/(1+0.03)^B30</f>
        <v>1</v>
      </c>
      <c r="K30">
        <v>0</v>
      </c>
      <c r="L30">
        <v>5.2264290861785412E-3</v>
      </c>
      <c r="M30">
        <v>1</v>
      </c>
      <c r="N30">
        <f>M30*1</f>
        <v>1</v>
      </c>
      <c r="O30">
        <f>N30/(1+0.03)^K30</f>
        <v>1</v>
      </c>
    </row>
    <row r="31" spans="2:15" x14ac:dyDescent="0.2">
      <c r="B31">
        <v>1</v>
      </c>
      <c r="C31">
        <v>4.2268639663234353E-4</v>
      </c>
      <c r="D31">
        <f>D30-D30*C30</f>
        <v>0.99369765305891633</v>
      </c>
      <c r="E31">
        <f t="shared" ref="E31:E47" si="0">D31*1</f>
        <v>0.99369765305891633</v>
      </c>
      <c r="F31">
        <f t="shared" ref="F31:F94" si="1">E31/(1+0.03)^B31</f>
        <v>0.96475500296982164</v>
      </c>
      <c r="K31">
        <v>1</v>
      </c>
      <c r="L31">
        <v>3.3906285534612834E-4</v>
      </c>
      <c r="M31">
        <f>M30-M30*L30</f>
        <v>0.99477357091382146</v>
      </c>
      <c r="N31">
        <f t="shared" ref="N31:N47" si="2">M31*1</f>
        <v>0.99477357091382146</v>
      </c>
      <c r="O31">
        <f t="shared" ref="O31:O94" si="3">N31/(1+0.03)^K31</f>
        <v>0.96579958341147709</v>
      </c>
    </row>
    <row r="32" spans="2:15" x14ac:dyDescent="0.2">
      <c r="B32">
        <v>2</v>
      </c>
      <c r="C32">
        <v>2.8743533766828477E-4</v>
      </c>
      <c r="D32">
        <f t="shared" ref="D32:D95" si="4">D31-D31*C31</f>
        <v>0.99327763057860285</v>
      </c>
      <c r="E32">
        <f t="shared" si="0"/>
        <v>0.99327763057860285</v>
      </c>
      <c r="F32">
        <f t="shared" si="1"/>
        <v>0.93625943121745958</v>
      </c>
      <c r="K32">
        <v>2</v>
      </c>
      <c r="L32">
        <v>2.0753819262608886E-4</v>
      </c>
      <c r="M32">
        <f t="shared" ref="M32:M95" si="5">M31-M31*L31</f>
        <v>0.99443628014644458</v>
      </c>
      <c r="N32">
        <f t="shared" si="2"/>
        <v>0.99443628014644458</v>
      </c>
      <c r="O32">
        <f t="shared" si="3"/>
        <v>0.9373515695602268</v>
      </c>
    </row>
    <row r="33" spans="2:15" x14ac:dyDescent="0.2">
      <c r="B33">
        <v>3</v>
      </c>
      <c r="C33">
        <v>2.2494496079161763E-4</v>
      </c>
      <c r="D33">
        <f t="shared" si="4"/>
        <v>0.99299212748745913</v>
      </c>
      <c r="E33">
        <f t="shared" si="0"/>
        <v>0.99299212748745913</v>
      </c>
      <c r="F33">
        <f t="shared" si="1"/>
        <v>0.90872846327349754</v>
      </c>
      <c r="K33">
        <v>3</v>
      </c>
      <c r="L33">
        <v>1.592152111697942E-4</v>
      </c>
      <c r="M33">
        <f t="shared" si="5"/>
        <v>0.99422989663818118</v>
      </c>
      <c r="N33">
        <f t="shared" si="2"/>
        <v>0.99422989663818118</v>
      </c>
      <c r="O33">
        <f t="shared" si="3"/>
        <v>0.90986119738798543</v>
      </c>
    </row>
    <row r="34" spans="2:15" x14ac:dyDescent="0.2">
      <c r="B34">
        <v>4</v>
      </c>
      <c r="C34">
        <v>1.5816476661711931E-4</v>
      </c>
      <c r="D34">
        <f t="shared" si="4"/>
        <v>0.99276875891227512</v>
      </c>
      <c r="E34">
        <f t="shared" si="0"/>
        <v>0.99276875891227512</v>
      </c>
      <c r="F34">
        <f t="shared" si="1"/>
        <v>0.88206218386888968</v>
      </c>
      <c r="K34">
        <v>4</v>
      </c>
      <c r="L34">
        <v>1.3885405496694148E-4</v>
      </c>
      <c r="M34">
        <f t="shared" si="5"/>
        <v>0.99407160011523665</v>
      </c>
      <c r="N34">
        <f t="shared" si="2"/>
        <v>0.99407160011523665</v>
      </c>
      <c r="O34">
        <f t="shared" si="3"/>
        <v>0.88321974140321191</v>
      </c>
    </row>
    <row r="35" spans="2:15" x14ac:dyDescent="0.2">
      <c r="B35">
        <v>5</v>
      </c>
      <c r="C35">
        <v>1.5554059064015746E-4</v>
      </c>
      <c r="D35">
        <f t="shared" si="4"/>
        <v>0.99261173787321699</v>
      </c>
      <c r="E35">
        <f t="shared" si="0"/>
        <v>0.99261173787321699</v>
      </c>
      <c r="F35">
        <f t="shared" si="1"/>
        <v>0.85623560457226822</v>
      </c>
      <c r="K35">
        <v>5</v>
      </c>
      <c r="L35">
        <v>1.2557220179587603E-4</v>
      </c>
      <c r="M35">
        <f t="shared" si="5"/>
        <v>0.99393356924263321</v>
      </c>
      <c r="N35">
        <f t="shared" si="2"/>
        <v>0.99393356924263321</v>
      </c>
      <c r="O35">
        <f t="shared" si="3"/>
        <v>0.85737582792300127</v>
      </c>
    </row>
    <row r="36" spans="2:15" x14ac:dyDescent="0.2">
      <c r="B36">
        <v>6</v>
      </c>
      <c r="C36">
        <v>1.3845614739693701E-4</v>
      </c>
      <c r="D36">
        <f t="shared" si="4"/>
        <v>0.99245734645723183</v>
      </c>
      <c r="E36">
        <f t="shared" si="0"/>
        <v>0.99245734645723183</v>
      </c>
      <c r="F36">
        <f t="shared" si="1"/>
        <v>0.83116740308796688</v>
      </c>
      <c r="K36">
        <v>6</v>
      </c>
      <c r="L36">
        <v>1.1295814329059795E-4</v>
      </c>
      <c r="M36">
        <f t="shared" si="5"/>
        <v>0.99380875881590458</v>
      </c>
      <c r="N36">
        <f t="shared" si="2"/>
        <v>0.99380875881590458</v>
      </c>
      <c r="O36">
        <f t="shared" si="3"/>
        <v>0.83229918966264305</v>
      </c>
    </row>
    <row r="37" spans="2:15" x14ac:dyDescent="0.2">
      <c r="B37">
        <v>7</v>
      </c>
      <c r="C37">
        <v>1.2436427641659975E-4</v>
      </c>
      <c r="D37">
        <f t="shared" si="4"/>
        <v>0.99231993463658552</v>
      </c>
      <c r="E37">
        <f t="shared" si="0"/>
        <v>0.99231993463658552</v>
      </c>
      <c r="F37">
        <f t="shared" si="1"/>
        <v>0.80684691538979936</v>
      </c>
      <c r="K37">
        <v>7</v>
      </c>
      <c r="L37">
        <v>1.0362247849116102E-4</v>
      </c>
      <c r="M37">
        <f t="shared" si="5"/>
        <v>0.99369650002372278</v>
      </c>
      <c r="N37">
        <f t="shared" si="2"/>
        <v>0.99369650002372278</v>
      </c>
      <c r="O37">
        <f t="shared" si="3"/>
        <v>0.80796618902088968</v>
      </c>
    </row>
    <row r="38" spans="2:15" x14ac:dyDescent="0.2">
      <c r="B38">
        <v>8</v>
      </c>
      <c r="C38">
        <v>1.1041062680305913E-4</v>
      </c>
      <c r="D38">
        <f t="shared" si="4"/>
        <v>0.99219652548594073</v>
      </c>
      <c r="E38">
        <f t="shared" si="0"/>
        <v>0.99219652548594073</v>
      </c>
      <c r="F38">
        <f t="shared" si="1"/>
        <v>0.78324909947280397</v>
      </c>
      <c r="K38">
        <v>8</v>
      </c>
      <c r="L38">
        <v>9.6691532235126942E-5</v>
      </c>
      <c r="M38">
        <f t="shared" si="5"/>
        <v>0.99359353072952228</v>
      </c>
      <c r="N38">
        <f t="shared" si="2"/>
        <v>0.99359353072952228</v>
      </c>
      <c r="O38">
        <f t="shared" si="3"/>
        <v>0.78435190831247215</v>
      </c>
    </row>
    <row r="39" spans="2:15" x14ac:dyDescent="0.2">
      <c r="B39">
        <v>9</v>
      </c>
      <c r="C39">
        <v>9.8203672678209841E-5</v>
      </c>
      <c r="D39">
        <f t="shared" si="4"/>
        <v>0.99208697644565003</v>
      </c>
      <c r="E39">
        <f t="shared" si="0"/>
        <v>0.99208697644565003</v>
      </c>
      <c r="F39">
        <f t="shared" si="1"/>
        <v>0.76035205868814393</v>
      </c>
      <c r="K39">
        <v>9</v>
      </c>
      <c r="L39">
        <v>9.2378773842938244E-5</v>
      </c>
      <c r="M39">
        <f t="shared" si="5"/>
        <v>0.99349745864861716</v>
      </c>
      <c r="N39">
        <f t="shared" si="2"/>
        <v>0.99349745864861716</v>
      </c>
      <c r="O39">
        <f t="shared" si="3"/>
        <v>0.76143307584917075</v>
      </c>
    </row>
    <row r="40" spans="2:15" x14ac:dyDescent="0.2">
      <c r="B40">
        <v>10</v>
      </c>
      <c r="C40">
        <v>9.3976806965656579E-5</v>
      </c>
      <c r="D40">
        <f t="shared" si="4"/>
        <v>0.9919895498609469</v>
      </c>
      <c r="E40">
        <f t="shared" si="0"/>
        <v>0.9919895498609469</v>
      </c>
      <c r="F40">
        <f t="shared" si="1"/>
        <v>0.73813338769267212</v>
      </c>
      <c r="K40">
        <v>10</v>
      </c>
      <c r="L40">
        <v>9.2018555733375251E-5</v>
      </c>
      <c r="M40">
        <f t="shared" si="5"/>
        <v>0.99340568057157108</v>
      </c>
      <c r="N40">
        <f t="shared" si="2"/>
        <v>0.99340568057157108</v>
      </c>
      <c r="O40">
        <f t="shared" si="3"/>
        <v>0.73918712193714597</v>
      </c>
    </row>
    <row r="41" spans="2:15" x14ac:dyDescent="0.2">
      <c r="B41">
        <v>11</v>
      </c>
      <c r="C41">
        <v>1.0786124767037109E-4</v>
      </c>
      <c r="D41">
        <f t="shared" si="4"/>
        <v>0.99189632585050769</v>
      </c>
      <c r="E41">
        <f t="shared" si="0"/>
        <v>0.99189632585050769</v>
      </c>
      <c r="F41">
        <f t="shared" si="1"/>
        <v>0.7165670099745457</v>
      </c>
      <c r="K41">
        <v>11</v>
      </c>
      <c r="L41">
        <v>9.789587784325704E-5</v>
      </c>
      <c r="M41">
        <f t="shared" si="5"/>
        <v>0.9933142688155876</v>
      </c>
      <c r="N41">
        <f t="shared" si="2"/>
        <v>0.9933142688155876</v>
      </c>
      <c r="O41">
        <f t="shared" si="3"/>
        <v>0.71759136214152297</v>
      </c>
    </row>
    <row r="42" spans="2:15" x14ac:dyDescent="0.2">
      <c r="B42">
        <v>12</v>
      </c>
      <c r="C42">
        <v>1.5155704750213772E-4</v>
      </c>
      <c r="D42">
        <f t="shared" si="4"/>
        <v>0.99178933867524177</v>
      </c>
      <c r="E42">
        <f t="shared" si="0"/>
        <v>0.99178933867524177</v>
      </c>
      <c r="F42">
        <f t="shared" si="1"/>
        <v>0.69562108753670915</v>
      </c>
      <c r="K42">
        <v>12</v>
      </c>
      <c r="L42">
        <v>1.1269428068771958E-4</v>
      </c>
      <c r="M42">
        <f t="shared" si="5"/>
        <v>0.99321702744326767</v>
      </c>
      <c r="N42">
        <f t="shared" si="2"/>
        <v>0.99321702744326767</v>
      </c>
      <c r="O42">
        <f t="shared" si="3"/>
        <v>0.69662243971378002</v>
      </c>
    </row>
    <row r="43" spans="2:15" x14ac:dyDescent="0.2">
      <c r="B43">
        <v>13</v>
      </c>
      <c r="C43">
        <v>2.3189505736809224E-4</v>
      </c>
      <c r="D43">
        <f t="shared" si="4"/>
        <v>0.99163902601132803</v>
      </c>
      <c r="E43">
        <f t="shared" si="0"/>
        <v>0.99163902601132803</v>
      </c>
      <c r="F43">
        <f t="shared" si="1"/>
        <v>0.67525792355194358</v>
      </c>
      <c r="K43">
        <v>13</v>
      </c>
      <c r="L43">
        <v>1.3793694961350411E-4</v>
      </c>
      <c r="M43">
        <f t="shared" si="5"/>
        <v>0.99310509756479315</v>
      </c>
      <c r="N43">
        <f t="shared" si="2"/>
        <v>0.99310509756479315</v>
      </c>
      <c r="O43">
        <f t="shared" si="3"/>
        <v>0.67625624694080155</v>
      </c>
    </row>
    <row r="44" spans="2:15" x14ac:dyDescent="0.2">
      <c r="B44">
        <v>14</v>
      </c>
      <c r="C44">
        <v>3.4138996852561831E-4</v>
      </c>
      <c r="D44">
        <f t="shared" si="4"/>
        <v>0.99140906982250265</v>
      </c>
      <c r="E44">
        <f t="shared" si="0"/>
        <v>0.99140906982250265</v>
      </c>
      <c r="F44">
        <f t="shared" si="1"/>
        <v>0.65543818890973127</v>
      </c>
      <c r="K44">
        <v>14</v>
      </c>
      <c r="L44">
        <v>1.7166299221571535E-4</v>
      </c>
      <c r="M44">
        <f t="shared" si="5"/>
        <v>0.9929681116769894</v>
      </c>
      <c r="N44">
        <f t="shared" si="2"/>
        <v>0.9929681116769894</v>
      </c>
      <c r="O44">
        <f t="shared" si="3"/>
        <v>0.65646889923974894</v>
      </c>
    </row>
    <row r="45" spans="2:15" x14ac:dyDescent="0.2">
      <c r="B45">
        <v>15</v>
      </c>
      <c r="C45">
        <v>4.61328134406358E-4</v>
      </c>
      <c r="D45">
        <f t="shared" si="4"/>
        <v>0.99107061271135999</v>
      </c>
      <c r="E45">
        <f t="shared" si="0"/>
        <v>0.99107061271135999</v>
      </c>
      <c r="F45">
        <f t="shared" si="1"/>
        <v>0.63613051348257166</v>
      </c>
      <c r="K45">
        <v>15</v>
      </c>
      <c r="L45">
        <v>2.0998850231990218E-4</v>
      </c>
      <c r="M45">
        <f t="shared" si="5"/>
        <v>0.99279765579976409</v>
      </c>
      <c r="N45">
        <f t="shared" si="2"/>
        <v>0.99279765579976409</v>
      </c>
      <c r="O45">
        <f t="shared" si="3"/>
        <v>0.63723903672253279</v>
      </c>
    </row>
    <row r="46" spans="2:15" x14ac:dyDescent="0.2">
      <c r="B46">
        <v>16</v>
      </c>
      <c r="C46">
        <v>5.8416114188730717E-4</v>
      </c>
      <c r="D46">
        <f t="shared" si="4"/>
        <v>0.9906134039545329</v>
      </c>
      <c r="E46">
        <f t="shared" si="0"/>
        <v>0.9906134039545329</v>
      </c>
      <c r="F46">
        <f t="shared" si="1"/>
        <v>0.61731752289276498</v>
      </c>
      <c r="K46">
        <v>16</v>
      </c>
      <c r="L46">
        <v>2.5020970497280359E-4</v>
      </c>
      <c r="M46">
        <f t="shared" si="5"/>
        <v>0.99258917970691596</v>
      </c>
      <c r="N46">
        <f t="shared" si="2"/>
        <v>0.99258917970691596</v>
      </c>
      <c r="O46">
        <f t="shared" si="3"/>
        <v>0.6185487610209629</v>
      </c>
    </row>
    <row r="47" spans="2:15" x14ac:dyDescent="0.2">
      <c r="B47">
        <v>17</v>
      </c>
      <c r="C47">
        <v>7.1757868863642216E-4</v>
      </c>
      <c r="D47">
        <f t="shared" si="4"/>
        <v>0.99003472609730991</v>
      </c>
      <c r="E47">
        <f t="shared" si="0"/>
        <v>0.99003472609730991</v>
      </c>
      <c r="F47">
        <f t="shared" si="1"/>
        <v>0.59898729124629602</v>
      </c>
      <c r="K47">
        <v>17</v>
      </c>
      <c r="L47">
        <v>2.9255016124807298E-4</v>
      </c>
      <c r="M47">
        <f t="shared" si="5"/>
        <v>0.99234082426110226</v>
      </c>
      <c r="N47">
        <f t="shared" si="2"/>
        <v>0.99234082426110226</v>
      </c>
      <c r="O47">
        <f t="shared" si="3"/>
        <v>0.60038251856112279</v>
      </c>
    </row>
    <row r="48" spans="2:15" x14ac:dyDescent="0.2">
      <c r="B48">
        <v>18</v>
      </c>
      <c r="C48">
        <v>8.5859786486253142E-4</v>
      </c>
      <c r="D48">
        <f t="shared" si="4"/>
        <v>0.98932429827685253</v>
      </c>
      <c r="E48">
        <f t="shared" ref="E48:E57" si="6">D48*$D$9</f>
        <v>0.91215700301125813</v>
      </c>
      <c r="F48">
        <f t="shared" si="1"/>
        <v>0.53579610486824236</v>
      </c>
      <c r="K48">
        <v>18</v>
      </c>
      <c r="L48">
        <v>3.3566230558790267E-4</v>
      </c>
      <c r="M48">
        <f t="shared" si="5"/>
        <v>0.99205051479295159</v>
      </c>
      <c r="N48">
        <f t="shared" ref="N48:N52" si="7">M48*$D$20</f>
        <v>0.9146705746391014</v>
      </c>
      <c r="O48">
        <f t="shared" si="3"/>
        <v>0.53727256328829487</v>
      </c>
    </row>
    <row r="49" spans="2:15" x14ac:dyDescent="0.2">
      <c r="B49">
        <v>19</v>
      </c>
      <c r="C49">
        <v>1.0014867875725031E-3</v>
      </c>
      <c r="D49">
        <f t="shared" si="4"/>
        <v>0.98847486654669536</v>
      </c>
      <c r="E49">
        <f t="shared" si="6"/>
        <v>0.91137382695605318</v>
      </c>
      <c r="F49">
        <f t="shared" si="1"/>
        <v>0.51974375871514644</v>
      </c>
      <c r="K49">
        <v>19</v>
      </c>
      <c r="L49">
        <v>3.7903472548350692E-4</v>
      </c>
      <c r="M49">
        <f t="shared" si="5"/>
        <v>0.9917175208298965</v>
      </c>
      <c r="N49">
        <f t="shared" si="7"/>
        <v>0.91436355420516457</v>
      </c>
      <c r="O49">
        <f t="shared" si="3"/>
        <v>0.5214487583892935</v>
      </c>
    </row>
    <row r="50" spans="2:15" x14ac:dyDescent="0.2">
      <c r="B50">
        <v>20</v>
      </c>
      <c r="C50">
        <v>1.1470711324363947E-3</v>
      </c>
      <c r="D50">
        <f t="shared" si="4"/>
        <v>0.98748492202800131</v>
      </c>
      <c r="E50">
        <f t="shared" si="6"/>
        <v>0.91046109810981724</v>
      </c>
      <c r="F50">
        <f t="shared" si="1"/>
        <v>0.50410023515327174</v>
      </c>
      <c r="K50">
        <v>20</v>
      </c>
      <c r="L50">
        <v>4.244505544193089E-4</v>
      </c>
      <c r="M50">
        <f t="shared" si="5"/>
        <v>0.99134162545163151</v>
      </c>
      <c r="N50">
        <f t="shared" si="7"/>
        <v>0.9140169786664043</v>
      </c>
      <c r="O50">
        <f t="shared" si="3"/>
        <v>0.50606904000223663</v>
      </c>
    </row>
    <row r="51" spans="2:15" x14ac:dyDescent="0.2">
      <c r="B51">
        <v>21</v>
      </c>
      <c r="C51">
        <v>1.2859423877671361E-3</v>
      </c>
      <c r="D51">
        <f t="shared" si="4"/>
        <v>0.98635220658022682</v>
      </c>
      <c r="E51">
        <f t="shared" si="6"/>
        <v>0.90941673446696913</v>
      </c>
      <c r="F51">
        <f t="shared" si="1"/>
        <v>0.48885630711230399</v>
      </c>
      <c r="K51">
        <v>21</v>
      </c>
      <c r="L51">
        <v>4.7057535266503692E-4</v>
      </c>
      <c r="M51">
        <f t="shared" si="5"/>
        <v>0.99092084994908958</v>
      </c>
      <c r="N51">
        <f t="shared" si="7"/>
        <v>0.91362902365306065</v>
      </c>
      <c r="O51">
        <f t="shared" si="3"/>
        <v>0.4911206201142071</v>
      </c>
    </row>
    <row r="52" spans="2:15" x14ac:dyDescent="0.2">
      <c r="B52">
        <v>22</v>
      </c>
      <c r="C52">
        <v>1.4028329169377685E-3</v>
      </c>
      <c r="D52">
        <f t="shared" si="4"/>
        <v>0.98508381446851767</v>
      </c>
      <c r="E52">
        <f t="shared" si="6"/>
        <v>0.90824727693997331</v>
      </c>
      <c r="F52">
        <f t="shared" si="1"/>
        <v>0.47400744278200091</v>
      </c>
      <c r="K52">
        <v>22</v>
      </c>
      <c r="L52">
        <v>5.1309901755303144E-4</v>
      </c>
      <c r="M52">
        <f t="shared" si="5"/>
        <v>0.9904545470206616</v>
      </c>
      <c r="N52">
        <f t="shared" si="7"/>
        <v>0.91319909235305008</v>
      </c>
      <c r="O52">
        <f t="shared" si="3"/>
        <v>0.47659175811184051</v>
      </c>
    </row>
    <row r="53" spans="2:15" x14ac:dyDescent="0.2">
      <c r="B53">
        <v>23</v>
      </c>
      <c r="C53">
        <v>1.4899933012202382E-3</v>
      </c>
      <c r="D53">
        <f t="shared" si="4"/>
        <v>0.98370190646763866</v>
      </c>
      <c r="E53">
        <f t="shared" si="6"/>
        <v>0.9069731577631629</v>
      </c>
      <c r="F53">
        <f t="shared" si="1"/>
        <v>0.45955581508581828</v>
      </c>
      <c r="K53">
        <v>23</v>
      </c>
      <c r="L53">
        <v>5.4998509585857391E-4</v>
      </c>
      <c r="M53">
        <f t="shared" si="5"/>
        <v>0.98994634576565432</v>
      </c>
      <c r="N53">
        <f t="shared" ref="N53:N58" si="8">M53*$D$20</f>
        <v>0.91273053079593336</v>
      </c>
      <c r="O53">
        <f t="shared" si="3"/>
        <v>0.46247302849415473</v>
      </c>
    </row>
    <row r="54" spans="2:15" x14ac:dyDescent="0.2">
      <c r="B54">
        <v>24</v>
      </c>
      <c r="C54">
        <v>1.5538185834884644E-3</v>
      </c>
      <c r="D54">
        <f t="shared" si="4"/>
        <v>0.98223619721660427</v>
      </c>
      <c r="E54">
        <f t="shared" si="6"/>
        <v>0.90562177383370912</v>
      </c>
      <c r="F54">
        <f t="shared" si="1"/>
        <v>0.4455059029124307</v>
      </c>
      <c r="K54">
        <v>24</v>
      </c>
      <c r="L54">
        <v>5.8267998974770308E-4</v>
      </c>
      <c r="M54">
        <f t="shared" si="5"/>
        <v>0.98940189002978352</v>
      </c>
      <c r="N54">
        <f t="shared" si="8"/>
        <v>0.91222854260746045</v>
      </c>
      <c r="O54">
        <f t="shared" si="3"/>
        <v>0.44875599536043342</v>
      </c>
    </row>
    <row r="55" spans="2:15" x14ac:dyDescent="0.2">
      <c r="B55">
        <v>25</v>
      </c>
      <c r="C55">
        <v>1.609192113392055E-3</v>
      </c>
      <c r="D55">
        <f t="shared" si="4"/>
        <v>0.98070998035999402</v>
      </c>
      <c r="E55">
        <f t="shared" si="6"/>
        <v>0.90421460189191449</v>
      </c>
      <c r="F55">
        <f t="shared" si="1"/>
        <v>0.43185792967129277</v>
      </c>
      <c r="K55">
        <v>25</v>
      </c>
      <c r="L55">
        <v>6.1345921130850911E-4</v>
      </c>
      <c r="M55">
        <f t="shared" si="5"/>
        <v>0.98882538534664455</v>
      </c>
      <c r="N55">
        <f t="shared" si="8"/>
        <v>0.91169700528960629</v>
      </c>
      <c r="O55">
        <f t="shared" si="3"/>
        <v>0.43543156720549275</v>
      </c>
    </row>
    <row r="56" spans="2:15" x14ac:dyDescent="0.2">
      <c r="B56">
        <v>26</v>
      </c>
      <c r="C56">
        <v>1.6636601649224758E-3</v>
      </c>
      <c r="D56">
        <f t="shared" si="4"/>
        <v>0.97913182959407385</v>
      </c>
      <c r="E56">
        <f t="shared" si="6"/>
        <v>0.90275954688573612</v>
      </c>
      <c r="F56">
        <f t="shared" si="1"/>
        <v>0.41860484203568921</v>
      </c>
      <c r="K56">
        <v>26</v>
      </c>
      <c r="L56">
        <v>6.4568896777927876E-4</v>
      </c>
      <c r="M56">
        <f t="shared" si="5"/>
        <v>0.98821878130562801</v>
      </c>
      <c r="N56">
        <f t="shared" si="8"/>
        <v>0.91113771636378904</v>
      </c>
      <c r="O56">
        <f t="shared" si="3"/>
        <v>0.42248975504824854</v>
      </c>
    </row>
    <row r="57" spans="2:15" x14ac:dyDescent="0.2">
      <c r="B57">
        <v>27</v>
      </c>
      <c r="C57">
        <v>1.71330024022609E-3</v>
      </c>
      <c r="D57">
        <f t="shared" si="4"/>
        <v>0.9775028869729705</v>
      </c>
      <c r="E57">
        <f t="shared" si="6"/>
        <v>0.90125766178907885</v>
      </c>
      <c r="F57">
        <f t="shared" si="1"/>
        <v>0.40573633576228235</v>
      </c>
      <c r="K57">
        <v>27</v>
      </c>
      <c r="L57">
        <v>6.8173068575561047E-4</v>
      </c>
      <c r="M57">
        <f t="shared" si="5"/>
        <v>0.98758069934078674</v>
      </c>
      <c r="N57">
        <f t="shared" si="8"/>
        <v>0.91054940479220536</v>
      </c>
      <c r="O57">
        <f t="shared" si="3"/>
        <v>0.40991937677127588</v>
      </c>
    </row>
    <row r="58" spans="2:15" x14ac:dyDescent="0.2">
      <c r="B58">
        <v>28</v>
      </c>
      <c r="C58">
        <v>1.7615470569580793E-3</v>
      </c>
      <c r="D58">
        <f t="shared" si="4"/>
        <v>0.97582813104189803</v>
      </c>
      <c r="E58">
        <f t="shared" ref="E58:E59" si="9">D58*$D$9</f>
        <v>0.89971353682063004</v>
      </c>
      <c r="F58">
        <f t="shared" si="1"/>
        <v>0.39324387145704115</v>
      </c>
      <c r="K58">
        <v>28</v>
      </c>
      <c r="L58">
        <v>7.2449375875294209E-4</v>
      </c>
      <c r="M58">
        <f t="shared" si="5"/>
        <v>0.98690743527338609</v>
      </c>
      <c r="N58">
        <f t="shared" si="8"/>
        <v>0.90992865532206202</v>
      </c>
      <c r="O58">
        <f t="shared" si="3"/>
        <v>0.39770866228489815</v>
      </c>
    </row>
    <row r="59" spans="2:15" x14ac:dyDescent="0.2">
      <c r="B59">
        <v>29</v>
      </c>
      <c r="C59">
        <v>1.81030691601336E-3</v>
      </c>
      <c r="D59">
        <f t="shared" si="4"/>
        <v>0.97410916386956425</v>
      </c>
      <c r="E59">
        <f t="shared" si="9"/>
        <v>0.89812864908773826</v>
      </c>
      <c r="F59">
        <f t="shared" si="1"/>
        <v>0.38111762511903807</v>
      </c>
      <c r="K59">
        <v>29</v>
      </c>
      <c r="L59">
        <v>7.7376619447022676E-4</v>
      </c>
      <c r="M59">
        <f t="shared" si="5"/>
        <v>0.98619242699606369</v>
      </c>
      <c r="N59">
        <f>M59*$D$20</f>
        <v>0.90926941769037073</v>
      </c>
      <c r="O59">
        <f t="shared" si="3"/>
        <v>0.38584516974880662</v>
      </c>
    </row>
    <row r="60" spans="2:15" x14ac:dyDescent="0.2">
      <c r="B60">
        <v>30</v>
      </c>
      <c r="C60">
        <v>1.8587581580504775E-3</v>
      </c>
      <c r="D60">
        <f t="shared" si="4"/>
        <v>0.97234572731325919</v>
      </c>
      <c r="E60">
        <f>D60*$D$10</f>
        <v>0.87608350030924653</v>
      </c>
      <c r="F60">
        <f t="shared" si="1"/>
        <v>0.36093480235775949</v>
      </c>
      <c r="K60">
        <v>30</v>
      </c>
      <c r="L60">
        <v>8.2845939323306084E-4</v>
      </c>
      <c r="M60">
        <f t="shared" si="5"/>
        <v>0.98542934463481158</v>
      </c>
      <c r="N60">
        <f>M60*$D$21</f>
        <v>0.88787183951596527</v>
      </c>
      <c r="O60">
        <f t="shared" si="3"/>
        <v>0.36579144202760988</v>
      </c>
    </row>
    <row r="61" spans="2:15" x14ac:dyDescent="0.2">
      <c r="B61">
        <v>31</v>
      </c>
      <c r="C61">
        <v>1.9074579467996955E-3</v>
      </c>
      <c r="D61">
        <f t="shared" si="4"/>
        <v>0.9705383717601701</v>
      </c>
      <c r="E61">
        <f t="shared" ref="E61:E69" si="10">D61*$D$10</f>
        <v>0.87445507295591329</v>
      </c>
      <c r="F61">
        <f t="shared" si="1"/>
        <v>0.34977078820325497</v>
      </c>
      <c r="K61">
        <v>31</v>
      </c>
      <c r="L61">
        <v>8.8473310461267829E-4</v>
      </c>
      <c r="M61">
        <f t="shared" si="5"/>
        <v>0.98461295643788138</v>
      </c>
      <c r="N61">
        <f t="shared" ref="N61:N69" si="11">M61*$D$21</f>
        <v>0.88713627375053117</v>
      </c>
      <c r="O61">
        <f t="shared" si="3"/>
        <v>0.35484310550630854</v>
      </c>
    </row>
    <row r="62" spans="2:15" x14ac:dyDescent="0.2">
      <c r="B62">
        <v>32</v>
      </c>
      <c r="C62">
        <v>1.9591974560171366E-3</v>
      </c>
      <c r="D62">
        <f t="shared" si="4"/>
        <v>0.96868711063028212</v>
      </c>
      <c r="E62">
        <f t="shared" si="10"/>
        <v>0.87278708667788418</v>
      </c>
      <c r="F62">
        <f t="shared" si="1"/>
        <v>0.33893554867353237</v>
      </c>
      <c r="K62">
        <v>32</v>
      </c>
      <c r="L62">
        <v>9.3950657173991203E-4</v>
      </c>
      <c r="M62">
        <f t="shared" si="5"/>
        <v>0.98374183676009019</v>
      </c>
      <c r="N62">
        <f t="shared" si="11"/>
        <v>0.88635139492084125</v>
      </c>
      <c r="O62">
        <f t="shared" si="3"/>
        <v>0.34420307190672189</v>
      </c>
    </row>
    <row r="63" spans="2:15" x14ac:dyDescent="0.2">
      <c r="B63">
        <v>33</v>
      </c>
      <c r="C63">
        <v>2.014129189774394E-3</v>
      </c>
      <c r="D63">
        <f t="shared" si="4"/>
        <v>0.96678926130745868</v>
      </c>
      <c r="E63">
        <f t="shared" si="10"/>
        <v>0.87107712443802032</v>
      </c>
      <c r="F63">
        <f t="shared" si="1"/>
        <v>0.32841893884351203</v>
      </c>
      <c r="K63">
        <v>33</v>
      </c>
      <c r="L63">
        <v>9.8923617042601109E-4</v>
      </c>
      <c r="M63">
        <f t="shared" si="5"/>
        <v>0.9828176048395586</v>
      </c>
      <c r="N63">
        <f t="shared" si="11"/>
        <v>0.88551866196044238</v>
      </c>
      <c r="O63">
        <f t="shared" si="3"/>
        <v>0.33386377753267232</v>
      </c>
    </row>
    <row r="64" spans="2:15" x14ac:dyDescent="0.2">
      <c r="B64">
        <v>34</v>
      </c>
      <c r="C64">
        <v>2.0716269500553608E-3</v>
      </c>
      <c r="D64">
        <f t="shared" si="4"/>
        <v>0.96484202283589893</v>
      </c>
      <c r="E64">
        <f t="shared" si="10"/>
        <v>0.86932266257514501</v>
      </c>
      <c r="F64">
        <f t="shared" si="1"/>
        <v>0.31821112686632297</v>
      </c>
      <c r="K64">
        <v>34</v>
      </c>
      <c r="L64">
        <v>1.0355460690334439E-3</v>
      </c>
      <c r="M64">
        <f t="shared" si="5"/>
        <v>0.98184536611591988</v>
      </c>
      <c r="N64">
        <f t="shared" si="11"/>
        <v>0.88464267487044379</v>
      </c>
      <c r="O64">
        <f t="shared" si="3"/>
        <v>0.32381893923101163</v>
      </c>
    </row>
    <row r="65" spans="2:15" x14ac:dyDescent="0.2">
      <c r="B65">
        <v>35</v>
      </c>
      <c r="C65">
        <v>2.1390151232481003E-3</v>
      </c>
      <c r="D65">
        <f t="shared" si="4"/>
        <v>0.9628432300988462</v>
      </c>
      <c r="E65">
        <f t="shared" si="10"/>
        <v>0.86752175031906043</v>
      </c>
      <c r="F65">
        <f t="shared" si="1"/>
        <v>0.30830282730106712</v>
      </c>
      <c r="K65">
        <v>35</v>
      </c>
      <c r="L65">
        <v>1.0866472730413079E-3</v>
      </c>
      <c r="M65">
        <f t="shared" si="5"/>
        <v>0.98082862000663984</v>
      </c>
      <c r="N65">
        <f t="shared" si="11"/>
        <v>0.88372658662598247</v>
      </c>
      <c r="O65">
        <f t="shared" si="3"/>
        <v>0.31406175708874984</v>
      </c>
    </row>
    <row r="66" spans="2:15" x14ac:dyDescent="0.2">
      <c r="B66">
        <v>36</v>
      </c>
      <c r="C66">
        <v>2.2113339509814978E-3</v>
      </c>
      <c r="D66">
        <f t="shared" si="4"/>
        <v>0.96078369386834772</v>
      </c>
      <c r="E66">
        <f t="shared" si="10"/>
        <v>0.86566610817538137</v>
      </c>
      <c r="F66">
        <f t="shared" si="1"/>
        <v>0.29868287659313597</v>
      </c>
      <c r="K66">
        <v>36</v>
      </c>
      <c r="L66">
        <v>1.1441981187090278E-3</v>
      </c>
      <c r="M66">
        <f t="shared" si="5"/>
        <v>0.9797628052613887</v>
      </c>
      <c r="N66">
        <f t="shared" si="11"/>
        <v>0.88276628754051123</v>
      </c>
      <c r="O66">
        <f t="shared" si="3"/>
        <v>0.30458299294839103</v>
      </c>
    </row>
    <row r="67" spans="2:15" x14ac:dyDescent="0.2">
      <c r="B67">
        <v>37</v>
      </c>
      <c r="C67">
        <v>2.2768150083720684E-3</v>
      </c>
      <c r="D67">
        <f t="shared" si="4"/>
        <v>0.95865908026654723</v>
      </c>
      <c r="E67">
        <f t="shared" si="10"/>
        <v>0.86375183132015909</v>
      </c>
      <c r="F67">
        <f t="shared" si="1"/>
        <v>0.28934212525004738</v>
      </c>
      <c r="K67">
        <v>37</v>
      </c>
      <c r="L67">
        <v>1.2029183562844992E-3</v>
      </c>
      <c r="M67">
        <f t="shared" si="5"/>
        <v>0.97864176250282753</v>
      </c>
      <c r="N67">
        <f t="shared" si="11"/>
        <v>0.88175622801504761</v>
      </c>
      <c r="O67">
        <f t="shared" si="3"/>
        <v>0.29537329093288228</v>
      </c>
    </row>
    <row r="68" spans="2:15" x14ac:dyDescent="0.2">
      <c r="B68">
        <v>38</v>
      </c>
      <c r="C68">
        <v>2.3329313844442368E-3</v>
      </c>
      <c r="D68">
        <f t="shared" si="4"/>
        <v>0.95647639088468417</v>
      </c>
      <c r="E68">
        <f t="shared" si="10"/>
        <v>0.86178522818710046</v>
      </c>
      <c r="F68">
        <f t="shared" si="1"/>
        <v>0.28027509393856676</v>
      </c>
      <c r="K68">
        <v>38</v>
      </c>
      <c r="L68">
        <v>1.2640721397474408E-3</v>
      </c>
      <c r="M68">
        <f t="shared" si="5"/>
        <v>0.97746453636248631</v>
      </c>
      <c r="N68">
        <f t="shared" si="11"/>
        <v>0.88069554726260024</v>
      </c>
      <c r="O68">
        <f t="shared" si="3"/>
        <v>0.28642522425171169</v>
      </c>
    </row>
    <row r="69" spans="2:15" x14ac:dyDescent="0.2">
      <c r="B69">
        <v>39</v>
      </c>
      <c r="C69">
        <v>2.3898361250758171E-3</v>
      </c>
      <c r="D69">
        <f t="shared" si="4"/>
        <v>0.95424499709390931</v>
      </c>
      <c r="E69">
        <f t="shared" si="10"/>
        <v>0.85977474238161233</v>
      </c>
      <c r="F69">
        <f t="shared" si="1"/>
        <v>0.27147692366566933</v>
      </c>
      <c r="K69">
        <v>39</v>
      </c>
      <c r="L69">
        <v>1.3324045576155186E-3</v>
      </c>
      <c r="M69">
        <f t="shared" si="5"/>
        <v>0.97622895067447935</v>
      </c>
      <c r="N69">
        <f t="shared" si="11"/>
        <v>0.87958228455770593</v>
      </c>
      <c r="O69">
        <f t="shared" si="3"/>
        <v>0.27773122534525641</v>
      </c>
    </row>
    <row r="70" spans="2:15" x14ac:dyDescent="0.2">
      <c r="B70">
        <v>40</v>
      </c>
      <c r="C70">
        <v>2.4626462254673243E-3</v>
      </c>
      <c r="D70">
        <f t="shared" si="4"/>
        <v>0.95196450792768139</v>
      </c>
      <c r="E70">
        <f>D70*$D$11</f>
        <v>0.82916108640501052</v>
      </c>
      <c r="F70">
        <f t="shared" si="1"/>
        <v>0.25418500314089754</v>
      </c>
      <c r="K70">
        <v>40</v>
      </c>
      <c r="L70">
        <v>1.4142458094283938E-3</v>
      </c>
      <c r="M70">
        <f t="shared" si="5"/>
        <v>0.97492821877132441</v>
      </c>
      <c r="N70">
        <f>M70*$D$22</f>
        <v>0.84916247854982352</v>
      </c>
      <c r="O70">
        <f t="shared" si="3"/>
        <v>0.26031656672788944</v>
      </c>
    </row>
    <row r="71" spans="2:15" x14ac:dyDescent="0.2">
      <c r="B71">
        <v>41</v>
      </c>
      <c r="C71">
        <v>2.5655240751802921E-3</v>
      </c>
      <c r="D71">
        <f t="shared" si="4"/>
        <v>0.94962015612545447</v>
      </c>
      <c r="E71">
        <f t="shared" ref="E71:E79" si="12">D71*$D$11</f>
        <v>0.82711915598527086</v>
      </c>
      <c r="F71">
        <f t="shared" si="1"/>
        <v>0.24617382077897298</v>
      </c>
      <c r="K71">
        <v>41</v>
      </c>
      <c r="L71">
        <v>1.5130065148696303E-3</v>
      </c>
      <c r="M71">
        <f t="shared" si="5"/>
        <v>0.97354943062343358</v>
      </c>
      <c r="N71">
        <f t="shared" ref="N71:N79" si="13">M71*$D$22</f>
        <v>0.84796155407301066</v>
      </c>
      <c r="O71">
        <f t="shared" si="3"/>
        <v>0.25237710205268904</v>
      </c>
    </row>
    <row r="72" spans="2:15" x14ac:dyDescent="0.2">
      <c r="B72">
        <v>42</v>
      </c>
      <c r="C72">
        <v>2.7009788900613785E-3</v>
      </c>
      <c r="D72">
        <f t="shared" si="4"/>
        <v>0.94718388275263821</v>
      </c>
      <c r="E72">
        <f t="shared" si="12"/>
        <v>0.8249971618775479</v>
      </c>
      <c r="F72">
        <f t="shared" si="1"/>
        <v>0.23839053972338389</v>
      </c>
      <c r="K72">
        <v>42</v>
      </c>
      <c r="L72">
        <v>1.6263265861198306E-3</v>
      </c>
      <c r="M72">
        <f t="shared" si="5"/>
        <v>0.97207644399235271</v>
      </c>
      <c r="N72">
        <f t="shared" si="13"/>
        <v>0.8466785827173392</v>
      </c>
      <c r="O72">
        <f t="shared" si="3"/>
        <v>0.24465558626512562</v>
      </c>
    </row>
    <row r="73" spans="2:15" x14ac:dyDescent="0.2">
      <c r="B73">
        <v>43</v>
      </c>
      <c r="C73">
        <v>2.8696933295577765E-3</v>
      </c>
      <c r="D73">
        <f t="shared" si="4"/>
        <v>0.94462555908031698</v>
      </c>
      <c r="E73">
        <f t="shared" si="12"/>
        <v>0.82276886195895604</v>
      </c>
      <c r="F73">
        <f t="shared" si="1"/>
        <v>0.23082199214369001</v>
      </c>
      <c r="K73">
        <v>43</v>
      </c>
      <c r="L73">
        <v>1.7503334674984217E-3</v>
      </c>
      <c r="M73">
        <f t="shared" si="5"/>
        <v>0.97049553022774715</v>
      </c>
      <c r="N73">
        <f t="shared" si="13"/>
        <v>0.84530160682836775</v>
      </c>
      <c r="O73">
        <f t="shared" si="3"/>
        <v>0.23714339454440769</v>
      </c>
    </row>
    <row r="74" spans="2:15" x14ac:dyDescent="0.2">
      <c r="B74">
        <v>44</v>
      </c>
      <c r="C74">
        <v>3.0660501215606928E-3</v>
      </c>
      <c r="D74">
        <f t="shared" si="4"/>
        <v>0.94191477341449437</v>
      </c>
      <c r="E74">
        <f t="shared" si="12"/>
        <v>0.82040776764402457</v>
      </c>
      <c r="F74">
        <f t="shared" si="1"/>
        <v>0.22345592603157285</v>
      </c>
      <c r="K74">
        <v>44</v>
      </c>
      <c r="L74">
        <v>1.8833458889275789E-3</v>
      </c>
      <c r="M74">
        <f t="shared" si="5"/>
        <v>0.96879683942113193</v>
      </c>
      <c r="N74">
        <f t="shared" si="13"/>
        <v>0.84382204713580589</v>
      </c>
      <c r="O74">
        <f t="shared" si="3"/>
        <v>0.22983331507217522</v>
      </c>
    </row>
    <row r="75" spans="2:15" x14ac:dyDescent="0.2">
      <c r="B75">
        <v>45</v>
      </c>
      <c r="C75">
        <v>3.2801120541989803E-3</v>
      </c>
      <c r="D75">
        <f t="shared" si="4"/>
        <v>0.93902681550896705</v>
      </c>
      <c r="E75">
        <f t="shared" si="12"/>
        <v>0.81789235630831025</v>
      </c>
      <c r="F75">
        <f t="shared" si="1"/>
        <v>0.21628232908970901</v>
      </c>
      <c r="K75">
        <v>45</v>
      </c>
      <c r="L75">
        <v>2.0247714128345251E-3</v>
      </c>
      <c r="M75">
        <f t="shared" si="5"/>
        <v>0.96697225987640212</v>
      </c>
      <c r="N75">
        <f t="shared" si="13"/>
        <v>0.84223283835234619</v>
      </c>
      <c r="O75">
        <f t="shared" si="3"/>
        <v>0.22271889266319944</v>
      </c>
    </row>
    <row r="76" spans="2:15" x14ac:dyDescent="0.2">
      <c r="B76">
        <v>46</v>
      </c>
      <c r="C76">
        <v>3.5201031714677811E-3</v>
      </c>
      <c r="D76">
        <f t="shared" si="4"/>
        <v>0.93594670233220001</v>
      </c>
      <c r="E76">
        <f t="shared" si="12"/>
        <v>0.81520957773134617</v>
      </c>
      <c r="F76">
        <f t="shared" si="1"/>
        <v>0.20929407651937051</v>
      </c>
      <c r="K76">
        <v>46</v>
      </c>
      <c r="L76">
        <v>2.1826105657964945E-3</v>
      </c>
      <c r="M76">
        <f t="shared" si="5"/>
        <v>0.96501436208760039</v>
      </c>
      <c r="N76">
        <f t="shared" si="13"/>
        <v>0.8405275093782999</v>
      </c>
      <c r="O76">
        <f t="shared" si="3"/>
        <v>0.21579411438469598</v>
      </c>
    </row>
    <row r="77" spans="2:15" x14ac:dyDescent="0.2">
      <c r="B77">
        <v>47</v>
      </c>
      <c r="C77">
        <v>3.803920466452837E-3</v>
      </c>
      <c r="D77">
        <f t="shared" si="4"/>
        <v>0.93265207337699563</v>
      </c>
      <c r="E77">
        <f t="shared" si="12"/>
        <v>0.81233995591136321</v>
      </c>
      <c r="F77">
        <f t="shared" si="1"/>
        <v>0.20248285415227693</v>
      </c>
      <c r="K77">
        <v>47</v>
      </c>
      <c r="L77">
        <v>2.3659262806177139E-3</v>
      </c>
      <c r="M77">
        <f t="shared" si="5"/>
        <v>0.96290811154476263</v>
      </c>
      <c r="N77">
        <f t="shared" si="13"/>
        <v>0.8386929651554883</v>
      </c>
      <c r="O77">
        <f t="shared" si="3"/>
        <v>0.20905157268990604</v>
      </c>
    </row>
    <row r="78" spans="2:15" x14ac:dyDescent="0.2">
      <c r="B78">
        <v>48</v>
      </c>
      <c r="C78">
        <v>4.1459756903350353E-3</v>
      </c>
      <c r="D78">
        <f t="shared" si="4"/>
        <v>0.92910433906699719</v>
      </c>
      <c r="E78">
        <f t="shared" si="12"/>
        <v>0.80924987932735459</v>
      </c>
      <c r="F78">
        <f t="shared" si="1"/>
        <v>0.19583750046530227</v>
      </c>
      <c r="K78">
        <v>48</v>
      </c>
      <c r="L78">
        <v>2.5838462170213461E-3</v>
      </c>
      <c r="M78">
        <f t="shared" si="5"/>
        <v>0.9606299419378389</v>
      </c>
      <c r="N78">
        <f t="shared" si="13"/>
        <v>0.83670867942785765</v>
      </c>
      <c r="O78">
        <f t="shared" si="3"/>
        <v>0.2024824971651209</v>
      </c>
    </row>
    <row r="79" spans="2:15" x14ac:dyDescent="0.2">
      <c r="B79">
        <v>49</v>
      </c>
      <c r="C79">
        <v>4.5468863099813461E-3</v>
      </c>
      <c r="D79">
        <f t="shared" si="4"/>
        <v>0.92525229506344064</v>
      </c>
      <c r="E79">
        <f t="shared" si="12"/>
        <v>0.80589474900025682</v>
      </c>
      <c r="F79">
        <f t="shared" si="1"/>
        <v>0.18934520674671571</v>
      </c>
      <c r="K79">
        <v>49</v>
      </c>
      <c r="L79">
        <v>2.8362697921693325E-3</v>
      </c>
      <c r="M79">
        <f t="shared" si="5"/>
        <v>0.95814782189640535</v>
      </c>
      <c r="N79">
        <f t="shared" si="13"/>
        <v>0.83454675287176905</v>
      </c>
      <c r="O79">
        <f t="shared" si="3"/>
        <v>0.19607700342796874</v>
      </c>
    </row>
    <row r="80" spans="2:15" x14ac:dyDescent="0.2">
      <c r="B80">
        <v>50</v>
      </c>
      <c r="C80">
        <v>4.9782963469624519E-3</v>
      </c>
      <c r="D80">
        <f t="shared" si="4"/>
        <v>0.9210452780697379</v>
      </c>
      <c r="E80">
        <f>D80*$D$12</f>
        <v>0.77552012413471927</v>
      </c>
      <c r="F80">
        <f t="shared" si="1"/>
        <v>0.17690163083455832</v>
      </c>
      <c r="K80">
        <v>50</v>
      </c>
      <c r="L80">
        <v>3.1050015240907669E-3</v>
      </c>
      <c r="M80">
        <f t="shared" si="5"/>
        <v>0.9554302561727277</v>
      </c>
      <c r="N80">
        <f>M80*$D$23</f>
        <v>0.80447227569743673</v>
      </c>
      <c r="O80">
        <f t="shared" si="3"/>
        <v>0.18350582158116016</v>
      </c>
    </row>
    <row r="81" spans="2:15" x14ac:dyDescent="0.2">
      <c r="B81">
        <v>51</v>
      </c>
      <c r="C81">
        <v>5.4409313015639782E-3</v>
      </c>
      <c r="D81">
        <f t="shared" si="4"/>
        <v>0.91646004172653628</v>
      </c>
      <c r="E81">
        <f t="shared" ref="E81:E89" si="14">D81*$D$12</f>
        <v>0.77165935513374351</v>
      </c>
      <c r="F81">
        <f t="shared" si="1"/>
        <v>0.17089413795340089</v>
      </c>
      <c r="K81">
        <v>51</v>
      </c>
      <c r="L81">
        <v>3.390508471056819E-3</v>
      </c>
      <c r="M81">
        <f t="shared" si="5"/>
        <v>0.95246364377114889</v>
      </c>
      <c r="N81">
        <f t="shared" ref="N81:N88" si="15">M81*$D$23</f>
        <v>0.8019743880553073</v>
      </c>
      <c r="O81">
        <f t="shared" si="3"/>
        <v>0.17760780167521464</v>
      </c>
    </row>
    <row r="82" spans="2:15" x14ac:dyDescent="0.2">
      <c r="B82">
        <v>52</v>
      </c>
      <c r="C82">
        <v>5.9650964103639126E-3</v>
      </c>
      <c r="D82">
        <f t="shared" si="4"/>
        <v>0.91147364559887378</v>
      </c>
      <c r="E82">
        <f t="shared" si="14"/>
        <v>0.76746080959425167</v>
      </c>
      <c r="F82">
        <f t="shared" si="1"/>
        <v>0.1650138977562684</v>
      </c>
      <c r="K82">
        <v>52</v>
      </c>
      <c r="L82">
        <v>3.7114568985998631E-3</v>
      </c>
      <c r="M82">
        <f t="shared" si="5"/>
        <v>0.9492343077185692</v>
      </c>
      <c r="N82">
        <f t="shared" si="15"/>
        <v>0.79925528709903526</v>
      </c>
      <c r="O82">
        <f t="shared" si="3"/>
        <v>0.17185011739719327</v>
      </c>
    </row>
    <row r="83" spans="2:15" x14ac:dyDescent="0.2">
      <c r="B83">
        <v>53</v>
      </c>
      <c r="C83">
        <v>6.5485280938446522E-3</v>
      </c>
      <c r="D83">
        <f t="shared" si="4"/>
        <v>0.90603661742737063</v>
      </c>
      <c r="E83">
        <f t="shared" si="14"/>
        <v>0.76288283187384609</v>
      </c>
      <c r="F83">
        <f t="shared" si="1"/>
        <v>0.15925201354087609</v>
      </c>
      <c r="K83">
        <v>53</v>
      </c>
      <c r="L83">
        <v>4.0661734528839588E-3</v>
      </c>
      <c r="M83">
        <f t="shared" si="5"/>
        <v>0.94571126549879947</v>
      </c>
      <c r="N83">
        <f t="shared" si="15"/>
        <v>0.79628888554998911</v>
      </c>
      <c r="O83">
        <f t="shared" si="3"/>
        <v>0.16622553698393622</v>
      </c>
    </row>
    <row r="84" spans="2:15" x14ac:dyDescent="0.2">
      <c r="B84">
        <v>54</v>
      </c>
      <c r="C84">
        <v>7.1699204854667187E-3</v>
      </c>
      <c r="D84">
        <f t="shared" si="4"/>
        <v>0.90010341118409554</v>
      </c>
      <c r="E84">
        <f t="shared" si="14"/>
        <v>0.75788707221700846</v>
      </c>
      <c r="F84">
        <f t="shared" si="1"/>
        <v>0.15360111384097314</v>
      </c>
      <c r="K84">
        <v>54</v>
      </c>
      <c r="L84">
        <v>4.4412612915039062E-3</v>
      </c>
      <c r="M84">
        <f t="shared" si="5"/>
        <v>0.94186583945693492</v>
      </c>
      <c r="N84">
        <f t="shared" si="15"/>
        <v>0.79305103682273914</v>
      </c>
      <c r="O84">
        <f t="shared" si="3"/>
        <v>0.16072780108569001</v>
      </c>
    </row>
    <row r="85" spans="2:15" x14ac:dyDescent="0.2">
      <c r="B85">
        <v>55</v>
      </c>
      <c r="C85">
        <v>7.8031821176409721E-3</v>
      </c>
      <c r="D85">
        <f t="shared" si="4"/>
        <v>0.8936497412972082</v>
      </c>
      <c r="E85">
        <f t="shared" si="14"/>
        <v>0.75245308217224927</v>
      </c>
      <c r="F85">
        <f t="shared" si="1"/>
        <v>0.14805806414393613</v>
      </c>
      <c r="K85">
        <v>55</v>
      </c>
      <c r="L85">
        <v>4.8293191939592361E-3</v>
      </c>
      <c r="M85">
        <f t="shared" si="5"/>
        <v>0.93768276716236498</v>
      </c>
      <c r="N85">
        <f t="shared" si="15"/>
        <v>0.78952888995071124</v>
      </c>
      <c r="O85">
        <f t="shared" si="3"/>
        <v>0.15535336594588309</v>
      </c>
    </row>
    <row r="86" spans="2:15" x14ac:dyDescent="0.2">
      <c r="B86">
        <v>56</v>
      </c>
      <c r="C86">
        <v>8.4446631371974945E-3</v>
      </c>
      <c r="D86">
        <f t="shared" si="4"/>
        <v>0.8866764296164833</v>
      </c>
      <c r="E86">
        <f t="shared" si="14"/>
        <v>0.74658155373707891</v>
      </c>
      <c r="F86">
        <f t="shared" si="1"/>
        <v>0.14262401951984044</v>
      </c>
      <c r="K86">
        <v>56</v>
      </c>
      <c r="L86">
        <v>5.2210059948265553E-3</v>
      </c>
      <c r="M86">
        <f t="shared" si="5"/>
        <v>0.93315439777706299</v>
      </c>
      <c r="N86">
        <f t="shared" si="15"/>
        <v>0.78571600292828703</v>
      </c>
      <c r="O86">
        <f t="shared" si="3"/>
        <v>0.15010011160570341</v>
      </c>
    </row>
    <row r="87" spans="2:15" x14ac:dyDescent="0.2">
      <c r="B87">
        <v>57</v>
      </c>
      <c r="C87">
        <v>9.1161839663982391E-3</v>
      </c>
      <c r="D87">
        <f t="shared" si="4"/>
        <v>0.87918874585667905</v>
      </c>
      <c r="E87">
        <f t="shared" si="14"/>
        <v>0.74027692401132372</v>
      </c>
      <c r="F87">
        <f t="shared" si="1"/>
        <v>0.13730059001914785</v>
      </c>
      <c r="K87">
        <v>57</v>
      </c>
      <c r="L87">
        <v>5.6132902391254902E-3</v>
      </c>
      <c r="M87">
        <f t="shared" si="5"/>
        <v>0.9282823930721702</v>
      </c>
      <c r="N87">
        <f t="shared" si="15"/>
        <v>0.78161377496676732</v>
      </c>
      <c r="O87">
        <f t="shared" si="3"/>
        <v>0.14496741555649117</v>
      </c>
    </row>
    <row r="88" spans="2:15" x14ac:dyDescent="0.2">
      <c r="B88">
        <v>58</v>
      </c>
      <c r="C88">
        <v>9.8380874842405319E-3</v>
      </c>
      <c r="D88">
        <f t="shared" si="4"/>
        <v>0.87117389950826263</v>
      </c>
      <c r="E88">
        <f t="shared" si="14"/>
        <v>0.73352842338595714</v>
      </c>
      <c r="F88">
        <f t="shared" si="1"/>
        <v>0.13208634231246436</v>
      </c>
      <c r="K88">
        <v>58</v>
      </c>
      <c r="L88">
        <v>6.0113845393061638E-3</v>
      </c>
      <c r="M88">
        <f t="shared" si="5"/>
        <v>0.92307167457598616</v>
      </c>
      <c r="N88">
        <f t="shared" si="15"/>
        <v>0.77722634999298035</v>
      </c>
      <c r="O88">
        <f t="shared" si="3"/>
        <v>0.13995502075510355</v>
      </c>
    </row>
    <row r="89" spans="2:15" x14ac:dyDescent="0.2">
      <c r="B89">
        <v>59</v>
      </c>
      <c r="C89">
        <v>1.0619322769343853E-2</v>
      </c>
      <c r="D89">
        <f t="shared" si="4"/>
        <v>0.86260321447091337</v>
      </c>
      <c r="E89">
        <f t="shared" si="14"/>
        <v>0.72631190658450906</v>
      </c>
      <c r="F89">
        <f t="shared" si="1"/>
        <v>0.12697753914691357</v>
      </c>
      <c r="K89">
        <v>59</v>
      </c>
      <c r="L89">
        <v>6.4290929585695267E-3</v>
      </c>
      <c r="M89">
        <f t="shared" si="5"/>
        <v>0.91752273578276866</v>
      </c>
      <c r="N89">
        <f>M89*$D$23</f>
        <v>0.77255414352909113</v>
      </c>
      <c r="O89">
        <f t="shared" si="3"/>
        <v>0.13506184204576507</v>
      </c>
    </row>
    <row r="90" spans="2:15" x14ac:dyDescent="0.2">
      <c r="B90">
        <v>60</v>
      </c>
      <c r="C90">
        <v>1.146990992128849E-2</v>
      </c>
      <c r="D90">
        <f t="shared" si="4"/>
        <v>0.85344295251457325</v>
      </c>
      <c r="E90">
        <f>D90*$D$13</f>
        <v>0.7023835499194937</v>
      </c>
      <c r="F90">
        <f t="shared" si="1"/>
        <v>0.11921773030453643</v>
      </c>
      <c r="K90">
        <v>60</v>
      </c>
      <c r="L90">
        <v>6.8804412148892879E-3</v>
      </c>
      <c r="M90">
        <f t="shared" si="5"/>
        <v>0.91162389682282019</v>
      </c>
      <c r="N90">
        <f>M90*$D$24</f>
        <v>0.75026646708518097</v>
      </c>
      <c r="O90">
        <f t="shared" si="3"/>
        <v>0.12734504579406872</v>
      </c>
    </row>
    <row r="91" spans="2:15" x14ac:dyDescent="0.2">
      <c r="B91">
        <v>61</v>
      </c>
      <c r="C91">
        <v>1.2361294589936733E-2</v>
      </c>
      <c r="D91">
        <f t="shared" si="4"/>
        <v>0.84365403872627265</v>
      </c>
      <c r="E91">
        <f t="shared" ref="E91:E99" si="16">D91*$D$13</f>
        <v>0.69432727387172233</v>
      </c>
      <c r="F91">
        <f t="shared" si="1"/>
        <v>0.11441778026885725</v>
      </c>
      <c r="K91">
        <v>61</v>
      </c>
      <c r="L91">
        <v>7.3711993172764778E-3</v>
      </c>
      <c r="M91">
        <f t="shared" si="5"/>
        <v>0.90535152219064252</v>
      </c>
      <c r="N91">
        <f t="shared" ref="N91:N99" si="17">M91*$D$24</f>
        <v>0.74510430276289874</v>
      </c>
      <c r="O91">
        <f t="shared" si="3"/>
        <v>0.12278529678881094</v>
      </c>
    </row>
    <row r="92" spans="2:15" x14ac:dyDescent="0.2">
      <c r="B92">
        <v>62</v>
      </c>
      <c r="C92">
        <v>1.3260341249406338E-2</v>
      </c>
      <c r="D92">
        <f t="shared" si="4"/>
        <v>0.8332253826215873</v>
      </c>
      <c r="E92">
        <f t="shared" si="16"/>
        <v>0.68574448989756631</v>
      </c>
      <c r="F92">
        <f t="shared" si="1"/>
        <v>0.1097120663889585</v>
      </c>
      <c r="K92">
        <v>62</v>
      </c>
      <c r="L92">
        <v>7.9033896327018738E-3</v>
      </c>
      <c r="M92">
        <f t="shared" si="5"/>
        <v>0.89867799566837558</v>
      </c>
      <c r="N92">
        <f t="shared" si="17"/>
        <v>0.73961199043507309</v>
      </c>
      <c r="O92">
        <f t="shared" si="3"/>
        <v>0.11833031251742684</v>
      </c>
    </row>
    <row r="93" spans="2:15" x14ac:dyDescent="0.2">
      <c r="B93">
        <v>63</v>
      </c>
      <c r="C93">
        <v>1.4139737002551556E-2</v>
      </c>
      <c r="D93">
        <f t="shared" si="4"/>
        <v>0.82217652971035793</v>
      </c>
      <c r="E93">
        <f t="shared" si="16"/>
        <v>0.67665128395162455</v>
      </c>
      <c r="F93">
        <f t="shared" si="1"/>
        <v>0.1051041232519062</v>
      </c>
      <c r="K93">
        <v>63</v>
      </c>
      <c r="L93">
        <v>8.4809288382530212E-3</v>
      </c>
      <c r="M93">
        <f t="shared" si="5"/>
        <v>0.89157539331427282</v>
      </c>
      <c r="N93">
        <f t="shared" si="17"/>
        <v>0.73376654869764646</v>
      </c>
      <c r="O93">
        <f t="shared" si="3"/>
        <v>0.11397582713809924</v>
      </c>
    </row>
    <row r="94" spans="2:15" x14ac:dyDescent="0.2">
      <c r="B94">
        <v>64</v>
      </c>
      <c r="C94">
        <v>1.5018866397440434E-2</v>
      </c>
      <c r="D94">
        <f t="shared" si="4"/>
        <v>0.81055116981058295</v>
      </c>
      <c r="E94">
        <f t="shared" si="16"/>
        <v>0.66708361275410977</v>
      </c>
      <c r="F94">
        <f t="shared" si="1"/>
        <v>0.1005999792147966</v>
      </c>
      <c r="K94">
        <v>64</v>
      </c>
      <c r="L94">
        <v>9.1108689084649086E-3</v>
      </c>
      <c r="M94">
        <f t="shared" si="5"/>
        <v>0.88401400584963707</v>
      </c>
      <c r="N94">
        <f t="shared" si="17"/>
        <v>0.72754352681425127</v>
      </c>
      <c r="O94">
        <f t="shared" si="3"/>
        <v>0.10971767597947575</v>
      </c>
    </row>
    <row r="95" spans="2:15" x14ac:dyDescent="0.2">
      <c r="B95">
        <v>65</v>
      </c>
      <c r="C95">
        <v>1.594170555472374E-2</v>
      </c>
      <c r="D95">
        <f t="shared" si="4"/>
        <v>0.79837761008290875</v>
      </c>
      <c r="E95">
        <f t="shared" si="16"/>
        <v>0.65706477309823386</v>
      </c>
      <c r="F95">
        <f t="shared" ref="F95:F130" si="18">E95/(1+0.03)^B95</f>
        <v>9.6202991812994451E-2</v>
      </c>
      <c r="K95">
        <v>65</v>
      </c>
      <c r="L95">
        <v>9.7929807379841805E-3</v>
      </c>
      <c r="M95">
        <f t="shared" si="5"/>
        <v>0.87595987012909415</v>
      </c>
      <c r="N95">
        <f t="shared" si="17"/>
        <v>0.72091497311624442</v>
      </c>
      <c r="O95">
        <f t="shared" ref="O95:O130" si="19">N95/(1+0.03)^K95</f>
        <v>0.10555150739484012</v>
      </c>
    </row>
    <row r="96" spans="2:15" x14ac:dyDescent="0.2">
      <c r="B96">
        <v>66</v>
      </c>
      <c r="C96">
        <v>1.7026431858539581E-2</v>
      </c>
      <c r="D96">
        <f t="shared" ref="D96:D130" si="20">D95-D95*C95</f>
        <v>0.78565010930148294</v>
      </c>
      <c r="E96">
        <f t="shared" si="16"/>
        <v>0.64659003995512043</v>
      </c>
      <c r="F96">
        <f t="shared" si="18"/>
        <v>9.1911992275755527E-2</v>
      </c>
      <c r="K96">
        <v>66</v>
      </c>
      <c r="L96">
        <v>1.0567729361355305E-2</v>
      </c>
      <c r="M96">
        <f t="shared" ref="M96:M130" si="21">M95-M95*L95</f>
        <v>0.86738161199367281</v>
      </c>
      <c r="N96">
        <f t="shared" si="17"/>
        <v>0.71385506667079268</v>
      </c>
      <c r="O96">
        <f t="shared" si="19"/>
        <v>0.101473634481609</v>
      </c>
    </row>
    <row r="97" spans="2:15" x14ac:dyDescent="0.2">
      <c r="B97">
        <v>67</v>
      </c>
      <c r="C97">
        <v>1.8188728019595146E-2</v>
      </c>
      <c r="D97">
        <f t="shared" si="20"/>
        <v>0.77227329125080701</v>
      </c>
      <c r="E97">
        <f t="shared" si="16"/>
        <v>0.63558091869941413</v>
      </c>
      <c r="F97">
        <f t="shared" si="18"/>
        <v>8.7715591264358975E-2</v>
      </c>
      <c r="K97">
        <v>67</v>
      </c>
      <c r="L97">
        <v>1.1436491273343563E-2</v>
      </c>
      <c r="M97">
        <f t="shared" si="21"/>
        <v>0.85821535786510761</v>
      </c>
      <c r="N97">
        <f t="shared" si="17"/>
        <v>0.70631123952298347</v>
      </c>
      <c r="O97">
        <f t="shared" si="19"/>
        <v>9.7476979199120628E-2</v>
      </c>
    </row>
    <row r="98" spans="2:15" x14ac:dyDescent="0.2">
      <c r="B98">
        <v>68</v>
      </c>
      <c r="C98">
        <v>1.9483163952827454E-2</v>
      </c>
      <c r="D98">
        <f t="shared" si="20"/>
        <v>0.75822662239944849</v>
      </c>
      <c r="E98">
        <f t="shared" si="16"/>
        <v>0.62402051023474603</v>
      </c>
      <c r="F98">
        <f t="shared" si="18"/>
        <v>8.3611802166770471E-2</v>
      </c>
      <c r="K98">
        <v>68</v>
      </c>
      <c r="L98">
        <v>1.247374527156353E-2</v>
      </c>
      <c r="M98">
        <f t="shared" si="21"/>
        <v>0.8484003854142339</v>
      </c>
      <c r="N98">
        <f t="shared" si="17"/>
        <v>0.69823351719591442</v>
      </c>
      <c r="O98">
        <f t="shared" si="19"/>
        <v>9.3555519006949528E-2</v>
      </c>
    </row>
    <row r="99" spans="2:15" x14ac:dyDescent="0.2">
      <c r="B99">
        <v>69</v>
      </c>
      <c r="C99">
        <v>2.0990420132875443E-2</v>
      </c>
      <c r="D99">
        <f t="shared" si="20"/>
        <v>0.74345396880184145</v>
      </c>
      <c r="E99">
        <f t="shared" si="16"/>
        <v>0.61186261632391548</v>
      </c>
      <c r="F99">
        <f t="shared" si="18"/>
        <v>7.9594931763848464E-2</v>
      </c>
      <c r="K99">
        <v>69</v>
      </c>
      <c r="L99">
        <v>1.3659073039889336E-2</v>
      </c>
      <c r="M99">
        <f t="shared" si="21"/>
        <v>0.83781765511828044</v>
      </c>
      <c r="N99">
        <f t="shared" si="17"/>
        <v>0.68952393016234481</v>
      </c>
      <c r="O99">
        <f t="shared" si="19"/>
        <v>8.9697603198163042E-2</v>
      </c>
    </row>
    <row r="100" spans="2:15" x14ac:dyDescent="0.2">
      <c r="B100">
        <v>70</v>
      </c>
      <c r="C100">
        <v>2.2447997704148293E-2</v>
      </c>
      <c r="D100">
        <f t="shared" si="20"/>
        <v>0.7278485576472371</v>
      </c>
      <c r="E100">
        <f>D100*$D$14</f>
        <v>0.57500036054131731</v>
      </c>
      <c r="F100">
        <f t="shared" si="18"/>
        <v>7.2621027212171202E-2</v>
      </c>
      <c r="K100">
        <v>70</v>
      </c>
      <c r="L100">
        <v>1.4881229028105736E-2</v>
      </c>
      <c r="M100">
        <f t="shared" si="21"/>
        <v>0.82637384257291102</v>
      </c>
      <c r="N100">
        <f>M100*$D$25</f>
        <v>0.65283533563259977</v>
      </c>
      <c r="O100">
        <f t="shared" si="19"/>
        <v>8.2451379038109798E-2</v>
      </c>
    </row>
    <row r="101" spans="2:15" x14ac:dyDescent="0.2">
      <c r="B101">
        <v>71</v>
      </c>
      <c r="C101">
        <v>2.4630911648273468E-2</v>
      </c>
      <c r="D101">
        <f t="shared" si="20"/>
        <v>0.71150981489620424</v>
      </c>
      <c r="E101">
        <f t="shared" ref="E101:E109" si="22">D101*$D$14</f>
        <v>0.56209275376800139</v>
      </c>
      <c r="F101">
        <f t="shared" si="18"/>
        <v>6.8923136466057758E-2</v>
      </c>
      <c r="K101">
        <v>71</v>
      </c>
      <c r="L101">
        <v>1.6529232263565063E-2</v>
      </c>
      <c r="M101">
        <f t="shared" si="21"/>
        <v>0.81407638415874772</v>
      </c>
      <c r="N101">
        <f t="shared" ref="N101:N109" si="23">M101*$D$25</f>
        <v>0.64312034348541069</v>
      </c>
      <c r="O101">
        <f t="shared" si="19"/>
        <v>7.8858641925204379E-2</v>
      </c>
    </row>
    <row r="102" spans="2:15" x14ac:dyDescent="0.2">
      <c r="B102">
        <v>72</v>
      </c>
      <c r="C102">
        <v>2.6569554582238197E-2</v>
      </c>
      <c r="D102">
        <f t="shared" si="20"/>
        <v>0.69398467950861642</v>
      </c>
      <c r="E102">
        <f t="shared" si="22"/>
        <v>0.54824789681180697</v>
      </c>
      <c r="F102">
        <f t="shared" si="18"/>
        <v>6.5267472603146012E-2</v>
      </c>
      <c r="K102">
        <v>72</v>
      </c>
      <c r="L102">
        <v>1.8210263922810555E-2</v>
      </c>
      <c r="M102">
        <f t="shared" si="21"/>
        <v>0.80062032652470461</v>
      </c>
      <c r="N102">
        <f t="shared" si="23"/>
        <v>0.63249005795451663</v>
      </c>
      <c r="O102">
        <f t="shared" si="19"/>
        <v>7.5296280695954745E-2</v>
      </c>
    </row>
    <row r="103" spans="2:15" x14ac:dyDescent="0.2">
      <c r="B103">
        <v>73</v>
      </c>
      <c r="C103">
        <v>2.9040491208434105E-2</v>
      </c>
      <c r="D103">
        <f t="shared" si="20"/>
        <v>0.6755458156871752</v>
      </c>
      <c r="E103">
        <f t="shared" si="22"/>
        <v>0.53368119439286843</v>
      </c>
      <c r="F103">
        <f t="shared" si="18"/>
        <v>6.1682859152788344E-2</v>
      </c>
      <c r="K103">
        <v>73</v>
      </c>
      <c r="L103">
        <v>2.0010983571410179E-2</v>
      </c>
      <c r="M103">
        <f t="shared" si="21"/>
        <v>0.78604081907672296</v>
      </c>
      <c r="N103">
        <f t="shared" si="23"/>
        <v>0.62097224707061116</v>
      </c>
      <c r="O103">
        <f t="shared" si="19"/>
        <v>7.1771956846675131E-2</v>
      </c>
    </row>
    <row r="104" spans="2:15" x14ac:dyDescent="0.2">
      <c r="B104">
        <v>74</v>
      </c>
      <c r="C104">
        <v>3.153933584690094E-2</v>
      </c>
      <c r="D104">
        <f t="shared" si="20"/>
        <v>0.65592763336581739</v>
      </c>
      <c r="E104">
        <f t="shared" si="22"/>
        <v>0.51818283035899571</v>
      </c>
      <c r="F104">
        <f t="shared" si="18"/>
        <v>5.8147144295000695E-2</v>
      </c>
      <c r="K104">
        <v>74</v>
      </c>
      <c r="L104">
        <v>2.1903079003095627E-2</v>
      </c>
      <c r="M104">
        <f t="shared" si="21"/>
        <v>0.77031136915972087</v>
      </c>
      <c r="N104">
        <f t="shared" si="23"/>
        <v>0.60854598163617957</v>
      </c>
      <c r="O104">
        <f t="shared" si="19"/>
        <v>6.8287115919736269E-2</v>
      </c>
    </row>
    <row r="105" spans="2:15" x14ac:dyDescent="0.2">
      <c r="B105">
        <v>75</v>
      </c>
      <c r="C105">
        <v>3.4644465893507004E-2</v>
      </c>
      <c r="D105">
        <f t="shared" si="20"/>
        <v>0.63524011144582992</v>
      </c>
      <c r="E105">
        <f t="shared" si="22"/>
        <v>0.50183968804220569</v>
      </c>
      <c r="F105">
        <f t="shared" si="18"/>
        <v>5.4673031051012094E-2</v>
      </c>
      <c r="K105">
        <v>75</v>
      </c>
      <c r="L105">
        <v>2.4321969598531723E-2</v>
      </c>
      <c r="M105">
        <f t="shared" si="21"/>
        <v>0.75343917838403274</v>
      </c>
      <c r="N105">
        <f t="shared" si="23"/>
        <v>0.59521695092338589</v>
      </c>
      <c r="O105">
        <f t="shared" si="19"/>
        <v>6.4846036723157988E-2</v>
      </c>
    </row>
    <row r="106" spans="2:15" x14ac:dyDescent="0.2">
      <c r="B106">
        <v>76</v>
      </c>
      <c r="C106">
        <v>3.8148298859596252E-2</v>
      </c>
      <c r="D106">
        <f t="shared" si="20"/>
        <v>0.61323255707065727</v>
      </c>
      <c r="E106">
        <f t="shared" si="22"/>
        <v>0.48445372008581927</v>
      </c>
      <c r="F106">
        <f t="shared" si="18"/>
        <v>5.1241663195602583E-2</v>
      </c>
      <c r="K106">
        <v>76</v>
      </c>
      <c r="L106">
        <v>2.6898579671978951E-2</v>
      </c>
      <c r="M106">
        <f t="shared" si="21"/>
        <v>0.73511405359303361</v>
      </c>
      <c r="N106">
        <f t="shared" si="23"/>
        <v>0.5807401023384966</v>
      </c>
      <c r="O106">
        <f t="shared" si="19"/>
        <v>6.1426071251836974E-2</v>
      </c>
    </row>
    <row r="107" spans="2:15" x14ac:dyDescent="0.2">
      <c r="B107">
        <v>77</v>
      </c>
      <c r="C107">
        <v>4.2249701917171478E-2</v>
      </c>
      <c r="D107">
        <f t="shared" si="20"/>
        <v>0.58983877821309139</v>
      </c>
      <c r="E107">
        <f t="shared" si="22"/>
        <v>0.46597263478834222</v>
      </c>
      <c r="F107">
        <f t="shared" si="18"/>
        <v>4.7851340693159189E-2</v>
      </c>
      <c r="K107">
        <v>77</v>
      </c>
      <c r="L107">
        <v>2.9885623604059219E-2</v>
      </c>
      <c r="M107">
        <f t="shared" si="21"/>
        <v>0.71534052965447004</v>
      </c>
      <c r="N107">
        <f t="shared" si="23"/>
        <v>0.56511901842703138</v>
      </c>
      <c r="O107">
        <f t="shared" si="19"/>
        <v>5.8032812796439605E-2</v>
      </c>
    </row>
    <row r="108" spans="2:15" x14ac:dyDescent="0.2">
      <c r="B108">
        <v>78</v>
      </c>
      <c r="C108">
        <v>4.6521790325641632E-2</v>
      </c>
      <c r="D108">
        <f t="shared" si="20"/>
        <v>0.56491826565439962</v>
      </c>
      <c r="E108">
        <f t="shared" si="22"/>
        <v>0.44628542986697572</v>
      </c>
      <c r="F108">
        <f t="shared" si="18"/>
        <v>4.4494792051006003E-2</v>
      </c>
      <c r="K108">
        <v>78</v>
      </c>
      <c r="L108">
        <v>3.3412754535675049E-2</v>
      </c>
      <c r="M108">
        <f t="shared" si="21"/>
        <v>0.69396213183648814</v>
      </c>
      <c r="N108">
        <f t="shared" si="23"/>
        <v>0.54823008415082564</v>
      </c>
      <c r="O108">
        <f t="shared" si="19"/>
        <v>5.4658704850990635E-2</v>
      </c>
    </row>
    <row r="109" spans="2:15" x14ac:dyDescent="0.2">
      <c r="B109">
        <v>79</v>
      </c>
      <c r="C109">
        <v>5.1400776952505112E-2</v>
      </c>
      <c r="D109">
        <f t="shared" si="20"/>
        <v>0.53863725654850048</v>
      </c>
      <c r="E109">
        <f t="shared" si="22"/>
        <v>0.42552343267331538</v>
      </c>
      <c r="F109">
        <f t="shared" si="18"/>
        <v>4.1189140451093273E-2</v>
      </c>
      <c r="K109">
        <v>79</v>
      </c>
      <c r="L109">
        <v>3.7064902484416962E-2</v>
      </c>
      <c r="M109">
        <f t="shared" si="21"/>
        <v>0.67077494546838179</v>
      </c>
      <c r="N109">
        <f t="shared" si="23"/>
        <v>0.52991220692002161</v>
      </c>
      <c r="O109">
        <f t="shared" si="19"/>
        <v>5.1293598992783081E-2</v>
      </c>
    </row>
    <row r="110" spans="2:15" x14ac:dyDescent="0.2">
      <c r="B110">
        <v>80</v>
      </c>
      <c r="C110">
        <v>5.678277462720871E-2</v>
      </c>
      <c r="D110">
        <f t="shared" si="20"/>
        <v>0.51095088306634173</v>
      </c>
      <c r="E110">
        <f>D110*$D$15</f>
        <v>0.37605984993682751</v>
      </c>
      <c r="F110">
        <f t="shared" si="18"/>
        <v>3.5341012854377907E-2</v>
      </c>
      <c r="K110">
        <v>80</v>
      </c>
      <c r="L110">
        <v>4.147796705365181E-2</v>
      </c>
      <c r="M110">
        <f t="shared" si="21"/>
        <v>0.64591273752560607</v>
      </c>
      <c r="N110">
        <f>M110*$D$26</f>
        <v>0.47539177481884604</v>
      </c>
      <c r="O110">
        <f t="shared" si="19"/>
        <v>4.4675938756984175E-2</v>
      </c>
    </row>
    <row r="111" spans="2:15" x14ac:dyDescent="0.2">
      <c r="B111">
        <v>81</v>
      </c>
      <c r="C111">
        <v>6.2514141201972961E-2</v>
      </c>
      <c r="D111">
        <f t="shared" si="20"/>
        <v>0.48193767422761236</v>
      </c>
      <c r="E111">
        <f t="shared" ref="E111:E130" si="24">D111*$D$15</f>
        <v>0.3547061282315227</v>
      </c>
      <c r="F111">
        <f t="shared" si="18"/>
        <v>3.2363351540165515E-2</v>
      </c>
      <c r="K111">
        <v>81</v>
      </c>
      <c r="L111">
        <v>4.6149767935276031E-2</v>
      </c>
      <c r="M111">
        <f t="shared" si="21"/>
        <v>0.61912159027898495</v>
      </c>
      <c r="N111">
        <f t="shared" ref="N111:N130" si="25">M111*$D$26</f>
        <v>0.4556734904453329</v>
      </c>
      <c r="O111">
        <f t="shared" si="19"/>
        <v>4.1575603535078658E-2</v>
      </c>
    </row>
    <row r="112" spans="2:15" x14ac:dyDescent="0.2">
      <c r="B112">
        <v>82</v>
      </c>
      <c r="C112">
        <v>6.9451943039894104E-2</v>
      </c>
      <c r="D112">
        <f t="shared" si="20"/>
        <v>0.45180975441039695</v>
      </c>
      <c r="E112">
        <f t="shared" si="24"/>
        <v>0.33253197924605216</v>
      </c>
      <c r="F112">
        <f t="shared" si="18"/>
        <v>2.9456489720596616E-2</v>
      </c>
      <c r="K112">
        <v>82</v>
      </c>
      <c r="L112">
        <v>5.1680829375982285E-2</v>
      </c>
      <c r="M112">
        <f t="shared" si="21"/>
        <v>0.59054927256389078</v>
      </c>
      <c r="N112">
        <f t="shared" si="25"/>
        <v>0.4346442646070236</v>
      </c>
      <c r="O112">
        <f t="shared" si="19"/>
        <v>3.8501843767151205E-2</v>
      </c>
    </row>
    <row r="113" spans="2:15" x14ac:dyDescent="0.2">
      <c r="B113">
        <v>83</v>
      </c>
      <c r="C113">
        <v>7.7621564269065857E-2</v>
      </c>
      <c r="D113">
        <f t="shared" si="20"/>
        <v>0.42043068908221753</v>
      </c>
      <c r="E113">
        <f t="shared" si="24"/>
        <v>0.30943698716451212</v>
      </c>
      <c r="F113">
        <f t="shared" si="18"/>
        <v>2.6612309975113126E-2</v>
      </c>
      <c r="K113">
        <v>83</v>
      </c>
      <c r="L113">
        <v>5.8587189763784409E-2</v>
      </c>
      <c r="M113">
        <f t="shared" si="21"/>
        <v>0.56002919637040594</v>
      </c>
      <c r="N113">
        <f t="shared" si="25"/>
        <v>0.41218148852861874</v>
      </c>
      <c r="O113">
        <f t="shared" si="19"/>
        <v>3.5448579173553728E-2</v>
      </c>
    </row>
    <row r="114" spans="2:15" x14ac:dyDescent="0.2">
      <c r="B114">
        <v>84</v>
      </c>
      <c r="C114">
        <v>8.6155369877815247E-2</v>
      </c>
      <c r="D114">
        <f t="shared" si="20"/>
        <v>0.38779620132893455</v>
      </c>
      <c r="E114">
        <f t="shared" si="24"/>
        <v>0.28541800417809582</v>
      </c>
      <c r="F114">
        <f t="shared" si="18"/>
        <v>2.3831670724302503E-2</v>
      </c>
      <c r="K114">
        <v>84</v>
      </c>
      <c r="L114">
        <v>6.5586209297180176E-2</v>
      </c>
      <c r="M114">
        <f t="shared" si="21"/>
        <v>0.52721865956939329</v>
      </c>
      <c r="N114">
        <f t="shared" si="25"/>
        <v>0.38803293344307344</v>
      </c>
      <c r="O114">
        <f t="shared" si="19"/>
        <v>3.239975392102544E-2</v>
      </c>
    </row>
    <row r="115" spans="2:15" x14ac:dyDescent="0.2">
      <c r="B115">
        <v>85</v>
      </c>
      <c r="C115">
        <v>9.5450498163700104E-2</v>
      </c>
      <c r="D115">
        <f t="shared" si="20"/>
        <v>0.35438547616622851</v>
      </c>
      <c r="E115">
        <f t="shared" si="24"/>
        <v>0.26082771045834419</v>
      </c>
      <c r="F115">
        <f t="shared" si="18"/>
        <v>2.1144120697324197E-2</v>
      </c>
      <c r="K115">
        <v>85</v>
      </c>
      <c r="L115">
        <v>7.2854951024055481E-2</v>
      </c>
      <c r="M115">
        <f t="shared" si="21"/>
        <v>0.49264038621749628</v>
      </c>
      <c r="N115">
        <f t="shared" si="25"/>
        <v>0.36258332425607726</v>
      </c>
      <c r="O115">
        <f t="shared" si="19"/>
        <v>2.9392987261343626E-2</v>
      </c>
    </row>
    <row r="116" spans="2:15" x14ac:dyDescent="0.2">
      <c r="B116">
        <v>86</v>
      </c>
      <c r="C116">
        <v>0.10578827559947968</v>
      </c>
      <c r="D116">
        <f t="shared" si="20"/>
        <v>0.32055920592418191</v>
      </c>
      <c r="E116">
        <f t="shared" si="24"/>
        <v>0.23593157556019789</v>
      </c>
      <c r="F116">
        <f t="shared" si="18"/>
        <v>1.856883868304E-2</v>
      </c>
      <c r="K116">
        <v>86</v>
      </c>
      <c r="L116">
        <v>8.1114701926708221E-2</v>
      </c>
      <c r="M116">
        <f t="shared" si="21"/>
        <v>0.45674909500714883</v>
      </c>
      <c r="N116">
        <f t="shared" si="25"/>
        <v>0.33616733392526155</v>
      </c>
      <c r="O116">
        <f t="shared" si="19"/>
        <v>2.6457827780551214E-2</v>
      </c>
    </row>
    <row r="117" spans="2:15" x14ac:dyDescent="0.2">
      <c r="B117">
        <v>87</v>
      </c>
      <c r="C117">
        <v>0.11852699518203735</v>
      </c>
      <c r="D117">
        <f t="shared" si="20"/>
        <v>0.28664780030192422</v>
      </c>
      <c r="E117">
        <f t="shared" si="24"/>
        <v>0.21097278102221623</v>
      </c>
      <c r="F117">
        <f t="shared" si="18"/>
        <v>1.6120847824151734E-2</v>
      </c>
      <c r="K117">
        <v>87</v>
      </c>
      <c r="L117">
        <v>9.1617569327354431E-2</v>
      </c>
      <c r="M117">
        <f t="shared" si="21"/>
        <v>0.41970002831035025</v>
      </c>
      <c r="N117">
        <f t="shared" si="25"/>
        <v>0.3088992208364178</v>
      </c>
      <c r="O117">
        <f t="shared" si="19"/>
        <v>2.360360093835303E-2</v>
      </c>
    </row>
    <row r="118" spans="2:15" x14ac:dyDescent="0.2">
      <c r="B118">
        <v>88</v>
      </c>
      <c r="C118">
        <v>0.13243746757507324</v>
      </c>
      <c r="D118">
        <f t="shared" si="20"/>
        <v>0.25267229785659645</v>
      </c>
      <c r="E118">
        <f t="shared" si="24"/>
        <v>0.18596681122245498</v>
      </c>
      <c r="F118">
        <f t="shared" si="18"/>
        <v>1.3796205992007909E-2</v>
      </c>
      <c r="K118">
        <v>88</v>
      </c>
      <c r="L118">
        <v>0.10324060171842575</v>
      </c>
      <c r="M118">
        <f t="shared" si="21"/>
        <v>0.38124813186993411</v>
      </c>
      <c r="N118">
        <f t="shared" si="25"/>
        <v>0.28059862505627148</v>
      </c>
      <c r="O118">
        <f t="shared" si="19"/>
        <v>2.0816598439813851E-2</v>
      </c>
    </row>
    <row r="119" spans="2:15" x14ac:dyDescent="0.2">
      <c r="B119">
        <v>89</v>
      </c>
      <c r="C119">
        <v>0.14754107594490051</v>
      </c>
      <c r="D119">
        <f t="shared" si="20"/>
        <v>0.21920901860209421</v>
      </c>
      <c r="E119">
        <f t="shared" si="24"/>
        <v>0.16133783769114135</v>
      </c>
      <c r="F119">
        <f t="shared" si="18"/>
        <v>1.1620457677944011E-2</v>
      </c>
      <c r="K119">
        <v>89</v>
      </c>
      <c r="L119">
        <v>0.11604062467813492</v>
      </c>
      <c r="M119">
        <f t="shared" si="21"/>
        <v>0.34188784533165639</v>
      </c>
      <c r="N119">
        <f t="shared" si="25"/>
        <v>0.2516294541640991</v>
      </c>
      <c r="O119">
        <f t="shared" si="19"/>
        <v>1.8123767272967599E-2</v>
      </c>
    </row>
    <row r="120" spans="2:15" x14ac:dyDescent="0.2">
      <c r="B120">
        <v>90</v>
      </c>
      <c r="C120">
        <v>0.16383889317512512</v>
      </c>
      <c r="D120">
        <f t="shared" si="20"/>
        <v>0.18686668414071553</v>
      </c>
      <c r="E120">
        <f t="shared" si="24"/>
        <v>0.13753387952756663</v>
      </c>
      <c r="F120">
        <f t="shared" si="18"/>
        <v>9.6174396593863773E-3</v>
      </c>
      <c r="K120">
        <v>90</v>
      </c>
      <c r="L120">
        <v>0.13006128370761871</v>
      </c>
      <c r="M120">
        <f t="shared" si="21"/>
        <v>0.30221496618950938</v>
      </c>
      <c r="N120">
        <f t="shared" si="25"/>
        <v>0.22243021511547889</v>
      </c>
      <c r="O120">
        <f t="shared" si="19"/>
        <v>1.5554052424360481E-2</v>
      </c>
    </row>
    <row r="121" spans="2:15" x14ac:dyDescent="0.2">
      <c r="B121">
        <v>91</v>
      </c>
      <c r="C121">
        <v>0.18130825459957123</v>
      </c>
      <c r="D121">
        <f t="shared" si="20"/>
        <v>0.156250653439795</v>
      </c>
      <c r="E121">
        <f t="shared" si="24"/>
        <v>0.11500048093168912</v>
      </c>
      <c r="F121">
        <f t="shared" si="18"/>
        <v>7.8075038741883141E-3</v>
      </c>
      <c r="K121">
        <v>91</v>
      </c>
      <c r="L121">
        <v>0.14532890915870667</v>
      </c>
      <c r="M121">
        <f t="shared" si="21"/>
        <v>0.26290849973124719</v>
      </c>
      <c r="N121">
        <f t="shared" si="25"/>
        <v>0.19350065580219794</v>
      </c>
      <c r="O121">
        <f t="shared" si="19"/>
        <v>1.3136963494361709E-2</v>
      </c>
    </row>
    <row r="122" spans="2:15" x14ac:dyDescent="0.2">
      <c r="B122">
        <v>92</v>
      </c>
      <c r="C122">
        <v>0.19989974796772003</v>
      </c>
      <c r="D122">
        <f t="shared" si="20"/>
        <v>0.12792112018458326</v>
      </c>
      <c r="E122">
        <f t="shared" si="24"/>
        <v>9.4149944455853285E-2</v>
      </c>
      <c r="F122">
        <f t="shared" si="18"/>
        <v>6.2057659941551838E-3</v>
      </c>
      <c r="K122">
        <v>92</v>
      </c>
      <c r="L122">
        <v>0.16184815764427185</v>
      </c>
      <c r="M122">
        <f t="shared" si="21"/>
        <v>0.22470029425675292</v>
      </c>
      <c r="N122">
        <f t="shared" si="25"/>
        <v>0.16537941657297014</v>
      </c>
      <c r="O122">
        <f t="shared" si="19"/>
        <v>1.0900760116571234E-2</v>
      </c>
    </row>
    <row r="123" spans="2:15" x14ac:dyDescent="0.2">
      <c r="B123">
        <v>93</v>
      </c>
      <c r="C123">
        <v>0.21953538060188293</v>
      </c>
      <c r="D123">
        <f t="shared" si="20"/>
        <v>0.10234972049993665</v>
      </c>
      <c r="E123">
        <f t="shared" si="24"/>
        <v>7.5329394287953377E-2</v>
      </c>
      <c r="F123">
        <f t="shared" si="18"/>
        <v>4.820616442696035E-3</v>
      </c>
      <c r="K123">
        <v>93</v>
      </c>
      <c r="L123">
        <v>0.17959828674793243</v>
      </c>
      <c r="M123">
        <f t="shared" si="21"/>
        <v>0.1883329656091717</v>
      </c>
      <c r="N123">
        <f t="shared" si="25"/>
        <v>0.13861306268835036</v>
      </c>
      <c r="O123">
        <f t="shared" si="19"/>
        <v>8.8703807522155544E-3</v>
      </c>
    </row>
    <row r="124" spans="2:15" x14ac:dyDescent="0.2">
      <c r="B124">
        <v>94</v>
      </c>
      <c r="C124">
        <v>0.24010759592056274</v>
      </c>
      <c r="D124">
        <f t="shared" si="20"/>
        <v>7.9880335655486717E-2</v>
      </c>
      <c r="E124">
        <f t="shared" si="24"/>
        <v>5.879192704243822E-2</v>
      </c>
      <c r="F124">
        <f t="shared" si="18"/>
        <v>3.6527384244787043E-3</v>
      </c>
      <c r="K124">
        <v>94</v>
      </c>
      <c r="L124">
        <v>0.19852951169013977</v>
      </c>
      <c r="M124">
        <f t="shared" si="21"/>
        <v>0.1545086876476072</v>
      </c>
      <c r="N124">
        <f t="shared" si="25"/>
        <v>0.11371839410863889</v>
      </c>
      <c r="O124">
        <f t="shared" si="19"/>
        <v>7.0653160838017523E-3</v>
      </c>
    </row>
    <row r="125" spans="2:15" x14ac:dyDescent="0.2">
      <c r="B125">
        <v>95</v>
      </c>
      <c r="C125">
        <v>0.26148021221160889</v>
      </c>
      <c r="D125">
        <f t="shared" si="20"/>
        <v>6.0700460299920191E-2</v>
      </c>
      <c r="E125">
        <f t="shared" si="24"/>
        <v>4.4675538780741257E-2</v>
      </c>
      <c r="F125">
        <f t="shared" si="18"/>
        <v>2.6948428959713186E-3</v>
      </c>
      <c r="K125">
        <v>95</v>
      </c>
      <c r="L125">
        <v>0.2185608297586441</v>
      </c>
      <c r="M125">
        <f t="shared" si="21"/>
        <v>0.12383415333704341</v>
      </c>
      <c r="N125">
        <f t="shared" si="25"/>
        <v>9.1141936856063949E-2</v>
      </c>
      <c r="O125">
        <f t="shared" si="19"/>
        <v>5.4977110016971847E-3</v>
      </c>
    </row>
    <row r="126" spans="2:15" x14ac:dyDescent="0.2">
      <c r="B126">
        <v>96</v>
      </c>
      <c r="C126">
        <v>0.28349092602729797</v>
      </c>
      <c r="D126">
        <f t="shared" si="20"/>
        <v>4.4828491059354714E-2</v>
      </c>
      <c r="E126">
        <f t="shared" si="24"/>
        <v>3.2993769419685071E-2</v>
      </c>
      <c r="F126">
        <f t="shared" si="18"/>
        <v>1.932227964714361E-3</v>
      </c>
      <c r="K126">
        <v>96</v>
      </c>
      <c r="L126">
        <v>0.23957890272140503</v>
      </c>
      <c r="M126">
        <f t="shared" si="21"/>
        <v>9.6768858031240038E-2</v>
      </c>
      <c r="N126">
        <f t="shared" si="25"/>
        <v>7.1221879510992667E-2</v>
      </c>
      <c r="O126">
        <f t="shared" si="19"/>
        <v>4.1709968188281769E-3</v>
      </c>
    </row>
    <row r="127" spans="2:15" x14ac:dyDescent="0.2">
      <c r="B127">
        <v>97</v>
      </c>
      <c r="C127">
        <v>0.30595538020133972</v>
      </c>
      <c r="D127">
        <f t="shared" si="20"/>
        <v>3.2120020616531797E-2</v>
      </c>
      <c r="E127">
        <f t="shared" si="24"/>
        <v>2.3640335173767402E-2</v>
      </c>
      <c r="F127">
        <f t="shared" si="18"/>
        <v>1.3441348249530539E-3</v>
      </c>
      <c r="K127">
        <v>97</v>
      </c>
      <c r="L127">
        <v>0.26143896579742432</v>
      </c>
      <c r="M127">
        <f t="shared" si="21"/>
        <v>7.3585081206512123E-2</v>
      </c>
      <c r="N127">
        <f t="shared" si="25"/>
        <v>5.4158619767992924E-2</v>
      </c>
      <c r="O127">
        <f t="shared" si="19"/>
        <v>3.0793339589503406E-3</v>
      </c>
    </row>
    <row r="128" spans="2:15" x14ac:dyDescent="0.2">
      <c r="B128">
        <v>98</v>
      </c>
      <c r="C128">
        <v>0.32867306470870972</v>
      </c>
      <c r="D128">
        <f t="shared" si="20"/>
        <v>2.229272749672594E-2</v>
      </c>
      <c r="E128">
        <f t="shared" si="24"/>
        <v>1.6407447437590292E-2</v>
      </c>
      <c r="F128">
        <f t="shared" si="18"/>
        <v>9.0571800343949643E-4</v>
      </c>
      <c r="K128">
        <v>98</v>
      </c>
      <c r="L128">
        <v>0.28396740555763245</v>
      </c>
      <c r="M128">
        <f t="shared" si="21"/>
        <v>5.4347073677762106E-2</v>
      </c>
      <c r="N128">
        <f t="shared" si="25"/>
        <v>3.9999446226832908E-2</v>
      </c>
      <c r="O128">
        <f t="shared" si="19"/>
        <v>2.2080350226965782E-3</v>
      </c>
    </row>
    <row r="129" spans="2:15" x14ac:dyDescent="0.2">
      <c r="B129">
        <v>99</v>
      </c>
      <c r="C129">
        <v>0.35143411159515381</v>
      </c>
      <c r="D129">
        <f t="shared" si="20"/>
        <v>1.4965708429660902E-2</v>
      </c>
      <c r="E129">
        <f t="shared" si="24"/>
        <v>1.1014761404230423E-2</v>
      </c>
      <c r="F129">
        <f t="shared" si="18"/>
        <v>5.903231956186244E-4</v>
      </c>
      <c r="K129">
        <v>99</v>
      </c>
      <c r="L129">
        <v>0.306966632604599</v>
      </c>
      <c r="M129">
        <f t="shared" si="21"/>
        <v>3.8914276165838507E-2</v>
      </c>
      <c r="N129">
        <f t="shared" si="25"/>
        <v>2.8640907258057142E-2</v>
      </c>
      <c r="O129">
        <f t="shared" si="19"/>
        <v>1.5349757727388766E-3</v>
      </c>
    </row>
    <row r="130" spans="2:15" x14ac:dyDescent="0.2">
      <c r="B130">
        <v>100</v>
      </c>
      <c r="C130">
        <v>1</v>
      </c>
      <c r="D130">
        <f t="shared" si="20"/>
        <v>9.7062479832909186E-3</v>
      </c>
      <c r="E130">
        <f t="shared" si="24"/>
        <v>7.1437985157021162E-3</v>
      </c>
      <c r="F130">
        <f t="shared" si="18"/>
        <v>3.717121240896903E-4</v>
      </c>
      <c r="K130">
        <v>100</v>
      </c>
      <c r="L130">
        <v>1</v>
      </c>
      <c r="M130">
        <f t="shared" si="21"/>
        <v>2.6968891850965654E-2</v>
      </c>
      <c r="N130">
        <f t="shared" si="25"/>
        <v>1.9849104402310722E-2</v>
      </c>
      <c r="O130">
        <f t="shared" si="19"/>
        <v>1.032805270535516E-3</v>
      </c>
    </row>
    <row r="131" spans="2:15" x14ac:dyDescent="0.2">
      <c r="D131">
        <f>SUM(D30:D130)</f>
        <v>76.588699278837296</v>
      </c>
      <c r="E131" s="51">
        <f>SUM(E30:E130)</f>
        <v>68.129463305533477</v>
      </c>
      <c r="F131">
        <f>SUM(F30:F130)</f>
        <v>28.207543833032119</v>
      </c>
      <c r="M131">
        <f>SUM(M30:M130)</f>
        <v>81.559861023723755</v>
      </c>
      <c r="N131" s="51">
        <f>SUM(N30:N130)</f>
        <v>72.051332774988126</v>
      </c>
      <c r="O131" s="51">
        <f>SUM(O30:O130)</f>
        <v>28.764460502127552</v>
      </c>
    </row>
    <row r="132" spans="2:15" x14ac:dyDescent="0.2">
      <c r="E132">
        <f>E131-E30/365*17</f>
        <v>68.082887963067719</v>
      </c>
      <c r="F132">
        <f>F131-E30/365*17</f>
        <v>28.160968490566365</v>
      </c>
      <c r="N132">
        <f>N131-N30/365*17</f>
        <v>72.004757432522368</v>
      </c>
      <c r="O132">
        <f>O131-O30/365*17</f>
        <v>28.717885159661797</v>
      </c>
    </row>
  </sheetData>
  <mergeCells count="2">
    <mergeCell ref="B7:K7"/>
    <mergeCell ref="B18:K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1970-4057-E742-B806-D118CABFBE17}">
  <dimension ref="A1:B9"/>
  <sheetViews>
    <sheetView workbookViewId="0">
      <selection activeCell="B3" sqref="B3"/>
    </sheetView>
  </sheetViews>
  <sheetFormatPr baseColWidth="10" defaultRowHeight="15" x14ac:dyDescent="0.2"/>
  <sheetData>
    <row r="1" spans="1:2" x14ac:dyDescent="0.2">
      <c r="A1" t="s">
        <v>148</v>
      </c>
      <c r="B1" t="s">
        <v>345</v>
      </c>
    </row>
    <row r="2" spans="1:2" x14ac:dyDescent="0.2">
      <c r="A2">
        <v>0</v>
      </c>
      <c r="B2">
        <v>1</v>
      </c>
    </row>
    <row r="3" spans="1:2" x14ac:dyDescent="0.2">
      <c r="A3">
        <v>18</v>
      </c>
      <c r="B3">
        <v>0.92200000000000004</v>
      </c>
    </row>
    <row r="4" spans="1:2" x14ac:dyDescent="0.2">
      <c r="A4">
        <v>30</v>
      </c>
      <c r="B4">
        <v>0.90100000000000002</v>
      </c>
    </row>
    <row r="5" spans="1:2" x14ac:dyDescent="0.2">
      <c r="A5">
        <v>40</v>
      </c>
      <c r="B5">
        <v>0.871</v>
      </c>
    </row>
    <row r="6" spans="1:2" x14ac:dyDescent="0.2">
      <c r="A6">
        <v>50</v>
      </c>
      <c r="B6">
        <v>0.84199999999999997</v>
      </c>
    </row>
    <row r="7" spans="1:2" x14ac:dyDescent="0.2">
      <c r="A7">
        <v>60</v>
      </c>
      <c r="B7">
        <v>0.82299999999999995</v>
      </c>
    </row>
    <row r="8" spans="1:2" x14ac:dyDescent="0.2">
      <c r="A8">
        <v>70</v>
      </c>
      <c r="B8">
        <v>0.79</v>
      </c>
    </row>
    <row r="9" spans="1:2" x14ac:dyDescent="0.2">
      <c r="A9">
        <v>80</v>
      </c>
      <c r="B9">
        <v>0.73599999999999999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2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148</v>
      </c>
      <c r="B1" t="s">
        <v>149</v>
      </c>
    </row>
    <row r="2" spans="1:2" x14ac:dyDescent="0.2">
      <c r="A2">
        <v>0</v>
      </c>
      <c r="B2">
        <f>lifetable_all!B4</f>
        <v>6.3023469410836697E-3</v>
      </c>
    </row>
    <row r="3" spans="1:2" x14ac:dyDescent="0.2">
      <c r="A3">
        <v>1</v>
      </c>
      <c r="B3">
        <f>lifetable_all!B5</f>
        <v>4.2268639663234353E-4</v>
      </c>
    </row>
    <row r="4" spans="1:2" x14ac:dyDescent="0.2">
      <c r="A4">
        <v>2</v>
      </c>
      <c r="B4">
        <f>lifetable_all!B6</f>
        <v>2.8743533766828477E-4</v>
      </c>
    </row>
    <row r="5" spans="1:2" x14ac:dyDescent="0.2">
      <c r="A5">
        <v>3</v>
      </c>
      <c r="B5">
        <f>lifetable_all!B7</f>
        <v>2.2494496079161763E-4</v>
      </c>
    </row>
    <row r="6" spans="1:2" x14ac:dyDescent="0.2">
      <c r="A6">
        <v>4</v>
      </c>
      <c r="B6">
        <f>lifetable_all!B8</f>
        <v>1.5816476661711931E-4</v>
      </c>
    </row>
    <row r="7" spans="1:2" x14ac:dyDescent="0.2">
      <c r="A7">
        <v>5</v>
      </c>
      <c r="B7">
        <f>lifetable_all!B9</f>
        <v>1.5554059064015746E-4</v>
      </c>
    </row>
    <row r="8" spans="1:2" x14ac:dyDescent="0.2">
      <c r="A8">
        <v>6</v>
      </c>
      <c r="B8">
        <f>lifetable_all!B10</f>
        <v>1.3845614739693701E-4</v>
      </c>
    </row>
    <row r="9" spans="1:2" x14ac:dyDescent="0.2">
      <c r="A9">
        <v>7</v>
      </c>
      <c r="B9">
        <f>lifetable_all!B11</f>
        <v>1.2436427641659975E-4</v>
      </c>
    </row>
    <row r="10" spans="1:2" x14ac:dyDescent="0.2">
      <c r="A10">
        <v>8</v>
      </c>
      <c r="B10">
        <f>lifetable_all!B12</f>
        <v>1.1041062680305913E-4</v>
      </c>
    </row>
    <row r="11" spans="1:2" x14ac:dyDescent="0.2">
      <c r="A11">
        <v>9</v>
      </c>
      <c r="B11">
        <f>lifetable_all!B13</f>
        <v>9.8203672678209841E-5</v>
      </c>
    </row>
    <row r="12" spans="1:2" x14ac:dyDescent="0.2">
      <c r="A12">
        <v>10</v>
      </c>
      <c r="B12">
        <f>lifetable_all!B14</f>
        <v>9.3976806965656579E-5</v>
      </c>
    </row>
    <row r="13" spans="1:2" x14ac:dyDescent="0.2">
      <c r="A13">
        <v>11</v>
      </c>
      <c r="B13">
        <f>lifetable_all!B15</f>
        <v>1.0786124767037109E-4</v>
      </c>
    </row>
    <row r="14" spans="1:2" x14ac:dyDescent="0.2">
      <c r="A14">
        <v>12</v>
      </c>
      <c r="B14">
        <f>lifetable_all!B16</f>
        <v>1.5155704750213772E-4</v>
      </c>
    </row>
    <row r="15" spans="1:2" x14ac:dyDescent="0.2">
      <c r="A15">
        <v>13</v>
      </c>
      <c r="B15">
        <f>lifetable_all!B17</f>
        <v>2.3189505736809224E-4</v>
      </c>
    </row>
    <row r="16" spans="1:2" x14ac:dyDescent="0.2">
      <c r="A16">
        <v>14</v>
      </c>
      <c r="B16">
        <f>lifetable_all!B18</f>
        <v>3.4138996852561831E-4</v>
      </c>
    </row>
    <row r="17" spans="1:2" x14ac:dyDescent="0.2">
      <c r="A17">
        <v>15</v>
      </c>
      <c r="B17">
        <f>lifetable_all!B19</f>
        <v>4.61328134406358E-4</v>
      </c>
    </row>
    <row r="18" spans="1:2" x14ac:dyDescent="0.2">
      <c r="A18">
        <v>16</v>
      </c>
      <c r="B18">
        <f>lifetable_all!B20</f>
        <v>5.8416114188730717E-4</v>
      </c>
    </row>
    <row r="19" spans="1:2" x14ac:dyDescent="0.2">
      <c r="A19">
        <v>17</v>
      </c>
      <c r="B19">
        <f>lifetable_all!B21</f>
        <v>7.1757868863642216E-4</v>
      </c>
    </row>
    <row r="20" spans="1:2" x14ac:dyDescent="0.2">
      <c r="A20">
        <v>18</v>
      </c>
      <c r="B20">
        <f>lifetable_all!B22</f>
        <v>8.5859786486253142E-4</v>
      </c>
    </row>
    <row r="21" spans="1:2" x14ac:dyDescent="0.2">
      <c r="A21">
        <v>19</v>
      </c>
      <c r="B21">
        <f>lifetable_all!B23</f>
        <v>1.0014867875725031E-3</v>
      </c>
    </row>
    <row r="22" spans="1:2" x14ac:dyDescent="0.2">
      <c r="A22">
        <v>20</v>
      </c>
      <c r="B22">
        <f>lifetable_all!B24</f>
        <v>1.1470711324363947E-3</v>
      </c>
    </row>
    <row r="23" spans="1:2" x14ac:dyDescent="0.2">
      <c r="A23">
        <v>21</v>
      </c>
      <c r="B23">
        <f>lifetable_all!B25</f>
        <v>1.2859423877671361E-3</v>
      </c>
    </row>
    <row r="24" spans="1:2" x14ac:dyDescent="0.2">
      <c r="A24">
        <v>22</v>
      </c>
      <c r="B24">
        <f>lifetable_all!B26</f>
        <v>1.4028329169377685E-3</v>
      </c>
    </row>
    <row r="25" spans="1:2" x14ac:dyDescent="0.2">
      <c r="A25">
        <v>23</v>
      </c>
      <c r="B25">
        <f>lifetable_all!B27</f>
        <v>1.4899933012202382E-3</v>
      </c>
    </row>
    <row r="26" spans="1:2" x14ac:dyDescent="0.2">
      <c r="A26">
        <v>24</v>
      </c>
      <c r="B26">
        <f>lifetable_all!B28</f>
        <v>1.5538185834884644E-3</v>
      </c>
    </row>
    <row r="27" spans="1:2" x14ac:dyDescent="0.2">
      <c r="A27">
        <v>25</v>
      </c>
      <c r="B27">
        <f>lifetable_all!B29</f>
        <v>1.609192113392055E-3</v>
      </c>
    </row>
    <row r="28" spans="1:2" x14ac:dyDescent="0.2">
      <c r="A28">
        <v>26</v>
      </c>
      <c r="B28">
        <f>lifetable_all!B30</f>
        <v>1.6636601649224758E-3</v>
      </c>
    </row>
    <row r="29" spans="1:2" x14ac:dyDescent="0.2">
      <c r="A29">
        <v>27</v>
      </c>
      <c r="B29">
        <f>lifetable_all!B31</f>
        <v>1.71330024022609E-3</v>
      </c>
    </row>
    <row r="30" spans="1:2" x14ac:dyDescent="0.2">
      <c r="A30">
        <v>28</v>
      </c>
      <c r="B30">
        <f>lifetable_all!B32</f>
        <v>1.7615470569580793E-3</v>
      </c>
    </row>
    <row r="31" spans="1:2" x14ac:dyDescent="0.2">
      <c r="A31">
        <v>29</v>
      </c>
      <c r="B31">
        <f>lifetable_all!B33</f>
        <v>1.81030691601336E-3</v>
      </c>
    </row>
    <row r="32" spans="1:2" x14ac:dyDescent="0.2">
      <c r="A32">
        <v>30</v>
      </c>
      <c r="B32">
        <f>lifetable_all!B34</f>
        <v>1.8587581580504775E-3</v>
      </c>
    </row>
    <row r="33" spans="1:2" x14ac:dyDescent="0.2">
      <c r="A33">
        <v>31</v>
      </c>
      <c r="B33">
        <f>lifetable_all!B35</f>
        <v>1.9074579467996955E-3</v>
      </c>
    </row>
    <row r="34" spans="1:2" x14ac:dyDescent="0.2">
      <c r="A34">
        <v>32</v>
      </c>
      <c r="B34">
        <f>lifetable_all!B36</f>
        <v>1.9591974560171366E-3</v>
      </c>
    </row>
    <row r="35" spans="1:2" x14ac:dyDescent="0.2">
      <c r="A35">
        <v>33</v>
      </c>
      <c r="B35">
        <f>lifetable_all!B37</f>
        <v>2.014129189774394E-3</v>
      </c>
    </row>
    <row r="36" spans="1:2" x14ac:dyDescent="0.2">
      <c r="A36">
        <v>34</v>
      </c>
      <c r="B36">
        <f>lifetable_all!B38</f>
        <v>2.0716269500553608E-3</v>
      </c>
    </row>
    <row r="37" spans="1:2" x14ac:dyDescent="0.2">
      <c r="A37">
        <v>35</v>
      </c>
      <c r="B37">
        <f>lifetable_all!B39</f>
        <v>2.1390151232481003E-3</v>
      </c>
    </row>
    <row r="38" spans="1:2" x14ac:dyDescent="0.2">
      <c r="A38">
        <v>36</v>
      </c>
      <c r="B38">
        <f>lifetable_all!B40</f>
        <v>2.2113339509814978E-3</v>
      </c>
    </row>
    <row r="39" spans="1:2" x14ac:dyDescent="0.2">
      <c r="A39">
        <v>37</v>
      </c>
      <c r="B39">
        <f>lifetable_all!B41</f>
        <v>2.2768150083720684E-3</v>
      </c>
    </row>
    <row r="40" spans="1:2" x14ac:dyDescent="0.2">
      <c r="A40">
        <v>38</v>
      </c>
      <c r="B40">
        <f>lifetable_all!B42</f>
        <v>2.3329313844442368E-3</v>
      </c>
    </row>
    <row r="41" spans="1:2" x14ac:dyDescent="0.2">
      <c r="A41">
        <v>39</v>
      </c>
      <c r="B41">
        <f>lifetable_all!B43</f>
        <v>2.3898361250758171E-3</v>
      </c>
    </row>
    <row r="42" spans="1:2" x14ac:dyDescent="0.2">
      <c r="A42">
        <v>40</v>
      </c>
      <c r="B42">
        <f>lifetable_all!B44</f>
        <v>2.4626462254673243E-3</v>
      </c>
    </row>
    <row r="43" spans="1:2" x14ac:dyDescent="0.2">
      <c r="A43">
        <v>41</v>
      </c>
      <c r="B43">
        <f>lifetable_all!B45</f>
        <v>2.5655240751802921E-3</v>
      </c>
    </row>
    <row r="44" spans="1:2" x14ac:dyDescent="0.2">
      <c r="A44">
        <v>42</v>
      </c>
      <c r="B44">
        <f>lifetable_all!B46</f>
        <v>2.7009788900613785E-3</v>
      </c>
    </row>
    <row r="45" spans="1:2" x14ac:dyDescent="0.2">
      <c r="A45">
        <v>43</v>
      </c>
      <c r="B45">
        <f>lifetable_all!B47</f>
        <v>2.8696933295577765E-3</v>
      </c>
    </row>
    <row r="46" spans="1:2" x14ac:dyDescent="0.2">
      <c r="A46">
        <v>44</v>
      </c>
      <c r="B46">
        <f>lifetable_all!B48</f>
        <v>3.0660501215606928E-3</v>
      </c>
    </row>
    <row r="47" spans="1:2" x14ac:dyDescent="0.2">
      <c r="A47">
        <v>45</v>
      </c>
      <c r="B47">
        <f>lifetable_all!B49</f>
        <v>3.2801120541989803E-3</v>
      </c>
    </row>
    <row r="48" spans="1:2" x14ac:dyDescent="0.2">
      <c r="A48">
        <v>46</v>
      </c>
      <c r="B48">
        <f>lifetable_all!B50</f>
        <v>3.5201031714677811E-3</v>
      </c>
    </row>
    <row r="49" spans="1:2" x14ac:dyDescent="0.2">
      <c r="A49">
        <v>47</v>
      </c>
      <c r="B49">
        <f>lifetable_all!B51</f>
        <v>3.803920466452837E-3</v>
      </c>
    </row>
    <row r="50" spans="1:2" x14ac:dyDescent="0.2">
      <c r="A50">
        <v>48</v>
      </c>
      <c r="B50">
        <f>lifetable_all!B52</f>
        <v>4.1459756903350353E-3</v>
      </c>
    </row>
    <row r="51" spans="1:2" x14ac:dyDescent="0.2">
      <c r="A51">
        <v>49</v>
      </c>
      <c r="B51">
        <f>lifetable_all!B53</f>
        <v>4.5468863099813461E-3</v>
      </c>
    </row>
    <row r="52" spans="1:2" x14ac:dyDescent="0.2">
      <c r="A52">
        <v>50</v>
      </c>
      <c r="B52">
        <f>lifetable_all!B54</f>
        <v>4.9782963469624519E-3</v>
      </c>
    </row>
    <row r="53" spans="1:2" x14ac:dyDescent="0.2">
      <c r="A53">
        <v>51</v>
      </c>
      <c r="B53">
        <f>lifetable_all!B55</f>
        <v>5.4409313015639782E-3</v>
      </c>
    </row>
    <row r="54" spans="1:2" x14ac:dyDescent="0.2">
      <c r="A54">
        <v>52</v>
      </c>
      <c r="B54">
        <f>lifetable_all!B56</f>
        <v>5.9650964103639126E-3</v>
      </c>
    </row>
    <row r="55" spans="1:2" x14ac:dyDescent="0.2">
      <c r="A55">
        <v>53</v>
      </c>
      <c r="B55">
        <f>lifetable_all!B57</f>
        <v>6.5485280938446522E-3</v>
      </c>
    </row>
    <row r="56" spans="1:2" x14ac:dyDescent="0.2">
      <c r="A56">
        <v>54</v>
      </c>
      <c r="B56">
        <f>lifetable_all!B58</f>
        <v>7.1699204854667187E-3</v>
      </c>
    </row>
    <row r="57" spans="1:2" x14ac:dyDescent="0.2">
      <c r="A57">
        <v>55</v>
      </c>
      <c r="B57">
        <f>lifetable_all!B59</f>
        <v>7.8031821176409721E-3</v>
      </c>
    </row>
    <row r="58" spans="1:2" x14ac:dyDescent="0.2">
      <c r="A58">
        <v>56</v>
      </c>
      <c r="B58">
        <f>lifetable_all!B60</f>
        <v>8.4446631371974945E-3</v>
      </c>
    </row>
    <row r="59" spans="1:2" x14ac:dyDescent="0.2">
      <c r="A59">
        <v>57</v>
      </c>
      <c r="B59">
        <f>lifetable_all!B61</f>
        <v>9.1161839663982391E-3</v>
      </c>
    </row>
    <row r="60" spans="1:2" x14ac:dyDescent="0.2">
      <c r="A60">
        <v>58</v>
      </c>
      <c r="B60">
        <f>lifetable_all!B62</f>
        <v>9.8380874842405319E-3</v>
      </c>
    </row>
    <row r="61" spans="1:2" x14ac:dyDescent="0.2">
      <c r="A61">
        <v>59</v>
      </c>
      <c r="B61">
        <f>lifetable_all!B63</f>
        <v>1.0619322769343853E-2</v>
      </c>
    </row>
    <row r="62" spans="1:2" x14ac:dyDescent="0.2">
      <c r="A62">
        <v>60</v>
      </c>
      <c r="B62">
        <f>lifetable_all!B64</f>
        <v>1.146990992128849E-2</v>
      </c>
    </row>
    <row r="63" spans="1:2" x14ac:dyDescent="0.2">
      <c r="A63">
        <v>61</v>
      </c>
      <c r="B63">
        <f>lifetable_all!B65</f>
        <v>1.2361294589936733E-2</v>
      </c>
    </row>
    <row r="64" spans="1:2" x14ac:dyDescent="0.2">
      <c r="A64">
        <v>62</v>
      </c>
      <c r="B64">
        <f>lifetable_all!B66</f>
        <v>1.3260341249406338E-2</v>
      </c>
    </row>
    <row r="65" spans="1:2" x14ac:dyDescent="0.2">
      <c r="A65">
        <v>63</v>
      </c>
      <c r="B65">
        <f>lifetable_all!B67</f>
        <v>1.4139737002551556E-2</v>
      </c>
    </row>
    <row r="66" spans="1:2" x14ac:dyDescent="0.2">
      <c r="A66">
        <v>64</v>
      </c>
      <c r="B66">
        <f>lifetable_all!B68</f>
        <v>1.5018866397440434E-2</v>
      </c>
    </row>
    <row r="67" spans="1:2" x14ac:dyDescent="0.2">
      <c r="A67">
        <v>65</v>
      </c>
      <c r="B67">
        <f>lifetable_all!B69</f>
        <v>1.594170555472374E-2</v>
      </c>
    </row>
    <row r="68" spans="1:2" x14ac:dyDescent="0.2">
      <c r="A68">
        <v>66</v>
      </c>
      <c r="B68">
        <f>lifetable_all!B70</f>
        <v>1.7026431858539581E-2</v>
      </c>
    </row>
    <row r="69" spans="1:2" x14ac:dyDescent="0.2">
      <c r="A69">
        <v>67</v>
      </c>
      <c r="B69">
        <f>lifetable_all!B71</f>
        <v>1.8188728019595146E-2</v>
      </c>
    </row>
    <row r="70" spans="1:2" x14ac:dyDescent="0.2">
      <c r="A70">
        <v>68</v>
      </c>
      <c r="B70">
        <f>lifetable_all!B72</f>
        <v>1.9483163952827454E-2</v>
      </c>
    </row>
    <row r="71" spans="1:2" x14ac:dyDescent="0.2">
      <c r="A71">
        <v>69</v>
      </c>
      <c r="B71">
        <f>lifetable_all!B73</f>
        <v>2.0990420132875443E-2</v>
      </c>
    </row>
    <row r="72" spans="1:2" x14ac:dyDescent="0.2">
      <c r="A72">
        <v>70</v>
      </c>
      <c r="B72">
        <f>lifetable_all!B74</f>
        <v>2.2447997704148293E-2</v>
      </c>
    </row>
    <row r="73" spans="1:2" x14ac:dyDescent="0.2">
      <c r="A73">
        <v>71</v>
      </c>
      <c r="B73">
        <f>lifetable_all!B75</f>
        <v>2.4630911648273468E-2</v>
      </c>
    </row>
    <row r="74" spans="1:2" x14ac:dyDescent="0.2">
      <c r="A74">
        <v>72</v>
      </c>
      <c r="B74">
        <f>lifetable_all!B76</f>
        <v>2.6569554582238197E-2</v>
      </c>
    </row>
    <row r="75" spans="1:2" x14ac:dyDescent="0.2">
      <c r="A75">
        <v>73</v>
      </c>
      <c r="B75">
        <f>lifetable_all!B77</f>
        <v>2.9040491208434105E-2</v>
      </c>
    </row>
    <row r="76" spans="1:2" x14ac:dyDescent="0.2">
      <c r="A76">
        <v>74</v>
      </c>
      <c r="B76">
        <f>lifetable_all!B78</f>
        <v>3.153933584690094E-2</v>
      </c>
    </row>
    <row r="77" spans="1:2" x14ac:dyDescent="0.2">
      <c r="A77">
        <v>75</v>
      </c>
      <c r="B77">
        <f>lifetable_all!B79</f>
        <v>3.4644465893507004E-2</v>
      </c>
    </row>
    <row r="78" spans="1:2" x14ac:dyDescent="0.2">
      <c r="A78">
        <v>76</v>
      </c>
      <c r="B78">
        <f>lifetable_all!B80</f>
        <v>3.8148298859596252E-2</v>
      </c>
    </row>
    <row r="79" spans="1:2" x14ac:dyDescent="0.2">
      <c r="A79">
        <v>77</v>
      </c>
      <c r="B79">
        <f>lifetable_all!B81</f>
        <v>4.2249701917171478E-2</v>
      </c>
    </row>
    <row r="80" spans="1:2" x14ac:dyDescent="0.2">
      <c r="A80">
        <v>78</v>
      </c>
      <c r="B80">
        <f>lifetable_all!B82</f>
        <v>4.6521790325641632E-2</v>
      </c>
    </row>
    <row r="81" spans="1:2" x14ac:dyDescent="0.2">
      <c r="A81">
        <v>79</v>
      </c>
      <c r="B81">
        <f>lifetable_all!B83</f>
        <v>5.1400776952505112E-2</v>
      </c>
    </row>
    <row r="82" spans="1:2" x14ac:dyDescent="0.2">
      <c r="A82">
        <v>80</v>
      </c>
      <c r="B82">
        <f>lifetable_all!B84</f>
        <v>5.678277462720871E-2</v>
      </c>
    </row>
    <row r="83" spans="1:2" x14ac:dyDescent="0.2">
      <c r="A83">
        <v>81</v>
      </c>
      <c r="B83">
        <f>lifetable_all!B85</f>
        <v>6.2514141201972961E-2</v>
      </c>
    </row>
    <row r="84" spans="1:2" x14ac:dyDescent="0.2">
      <c r="A84">
        <v>82</v>
      </c>
      <c r="B84">
        <f>lifetable_all!B86</f>
        <v>6.9451943039894104E-2</v>
      </c>
    </row>
    <row r="85" spans="1:2" x14ac:dyDescent="0.2">
      <c r="A85">
        <v>83</v>
      </c>
      <c r="B85">
        <f>lifetable_all!B87</f>
        <v>7.7621564269065857E-2</v>
      </c>
    </row>
    <row r="86" spans="1:2" x14ac:dyDescent="0.2">
      <c r="A86">
        <v>84</v>
      </c>
      <c r="B86">
        <f>lifetable_all!B88</f>
        <v>8.6155369877815247E-2</v>
      </c>
    </row>
    <row r="87" spans="1:2" x14ac:dyDescent="0.2">
      <c r="A87">
        <v>85</v>
      </c>
      <c r="B87">
        <f>lifetable_all!B89</f>
        <v>9.5450498163700104E-2</v>
      </c>
    </row>
    <row r="88" spans="1:2" x14ac:dyDescent="0.2">
      <c r="A88">
        <v>86</v>
      </c>
      <c r="B88">
        <f>lifetable_all!B90</f>
        <v>0.10578827559947968</v>
      </c>
    </row>
    <row r="89" spans="1:2" x14ac:dyDescent="0.2">
      <c r="A89">
        <v>87</v>
      </c>
      <c r="B89">
        <f>lifetable_all!B91</f>
        <v>0.11852699518203735</v>
      </c>
    </row>
    <row r="90" spans="1:2" x14ac:dyDescent="0.2">
      <c r="A90">
        <v>88</v>
      </c>
      <c r="B90">
        <f>lifetable_all!B92</f>
        <v>0.13243746757507324</v>
      </c>
    </row>
    <row r="91" spans="1:2" x14ac:dyDescent="0.2">
      <c r="A91">
        <v>89</v>
      </c>
      <c r="B91">
        <f>lifetable_all!B93</f>
        <v>0.14754107594490051</v>
      </c>
    </row>
    <row r="92" spans="1:2" x14ac:dyDescent="0.2">
      <c r="A92">
        <v>90</v>
      </c>
      <c r="B92">
        <f>lifetable_all!B94</f>
        <v>0.16383889317512512</v>
      </c>
    </row>
    <row r="93" spans="1:2" x14ac:dyDescent="0.2">
      <c r="A93">
        <v>91</v>
      </c>
      <c r="B93">
        <f>lifetable_all!B95</f>
        <v>0.18130825459957123</v>
      </c>
    </row>
    <row r="94" spans="1:2" x14ac:dyDescent="0.2">
      <c r="A94">
        <v>92</v>
      </c>
      <c r="B94">
        <f>lifetable_all!B96</f>
        <v>0.19989974796772003</v>
      </c>
    </row>
    <row r="95" spans="1:2" x14ac:dyDescent="0.2">
      <c r="A95">
        <v>93</v>
      </c>
      <c r="B95">
        <f>lifetable_all!B97</f>
        <v>0.21953538060188293</v>
      </c>
    </row>
    <row r="96" spans="1:2" x14ac:dyDescent="0.2">
      <c r="A96">
        <v>94</v>
      </c>
      <c r="B96">
        <f>lifetable_all!B98</f>
        <v>0.24010759592056274</v>
      </c>
    </row>
    <row r="97" spans="1:2" x14ac:dyDescent="0.2">
      <c r="A97">
        <v>95</v>
      </c>
      <c r="B97">
        <f>lifetable_all!B99</f>
        <v>0.26148021221160889</v>
      </c>
    </row>
    <row r="98" spans="1:2" x14ac:dyDescent="0.2">
      <c r="A98">
        <v>96</v>
      </c>
      <c r="B98">
        <f>lifetable_all!B100</f>
        <v>0.28349092602729797</v>
      </c>
    </row>
    <row r="99" spans="1:2" x14ac:dyDescent="0.2">
      <c r="A99">
        <v>97</v>
      </c>
      <c r="B99">
        <f>lifetable_all!B101</f>
        <v>0.30595538020133972</v>
      </c>
    </row>
    <row r="100" spans="1:2" x14ac:dyDescent="0.2">
      <c r="A100">
        <v>98</v>
      </c>
      <c r="B100">
        <f>lifetable_all!B102</f>
        <v>0.32867306470870972</v>
      </c>
    </row>
    <row r="101" spans="1:2" x14ac:dyDescent="0.2">
      <c r="A101">
        <v>99</v>
      </c>
      <c r="B101">
        <f>lifetable_all!B103</f>
        <v>0.35143411159515381</v>
      </c>
    </row>
    <row r="102" spans="1:2" x14ac:dyDescent="0.2">
      <c r="A102">
        <v>100</v>
      </c>
      <c r="B102">
        <f>lifetable_all!B104</f>
        <v>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2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148</v>
      </c>
      <c r="B1" t="s">
        <v>149</v>
      </c>
    </row>
    <row r="2" spans="1:2" x14ac:dyDescent="0.2">
      <c r="A2">
        <v>0</v>
      </c>
      <c r="B2">
        <f>lifetable_all!I4</f>
        <v>5.2264290861785412E-3</v>
      </c>
    </row>
    <row r="3" spans="1:2" x14ac:dyDescent="0.2">
      <c r="A3">
        <v>1</v>
      </c>
      <c r="B3">
        <f>lifetable_all!I5</f>
        <v>3.3906285534612834E-4</v>
      </c>
    </row>
    <row r="4" spans="1:2" x14ac:dyDescent="0.2">
      <c r="A4">
        <v>2</v>
      </c>
      <c r="B4">
        <f>lifetable_all!I6</f>
        <v>2.0753819262608886E-4</v>
      </c>
    </row>
    <row r="5" spans="1:2" x14ac:dyDescent="0.2">
      <c r="A5">
        <v>3</v>
      </c>
      <c r="B5">
        <f>lifetable_all!I7</f>
        <v>1.592152111697942E-4</v>
      </c>
    </row>
    <row r="6" spans="1:2" x14ac:dyDescent="0.2">
      <c r="A6">
        <v>4</v>
      </c>
      <c r="B6">
        <f>lifetable_all!I8</f>
        <v>1.3885405496694148E-4</v>
      </c>
    </row>
    <row r="7" spans="1:2" x14ac:dyDescent="0.2">
      <c r="A7">
        <v>5</v>
      </c>
      <c r="B7">
        <f>lifetable_all!I9</f>
        <v>1.2557220179587603E-4</v>
      </c>
    </row>
    <row r="8" spans="1:2" x14ac:dyDescent="0.2">
      <c r="A8">
        <v>6</v>
      </c>
      <c r="B8">
        <f>lifetable_all!I10</f>
        <v>1.1295814329059795E-4</v>
      </c>
    </row>
    <row r="9" spans="1:2" x14ac:dyDescent="0.2">
      <c r="A9">
        <v>7</v>
      </c>
      <c r="B9">
        <f>lifetable_all!I11</f>
        <v>1.0362247849116102E-4</v>
      </c>
    </row>
    <row r="10" spans="1:2" x14ac:dyDescent="0.2">
      <c r="A10">
        <v>8</v>
      </c>
      <c r="B10">
        <f>lifetable_all!I12</f>
        <v>9.6691532235126942E-5</v>
      </c>
    </row>
    <row r="11" spans="1:2" x14ac:dyDescent="0.2">
      <c r="A11">
        <v>9</v>
      </c>
      <c r="B11">
        <f>lifetable_all!I13</f>
        <v>9.2378773842938244E-5</v>
      </c>
    </row>
    <row r="12" spans="1:2" x14ac:dyDescent="0.2">
      <c r="A12">
        <v>10</v>
      </c>
      <c r="B12">
        <f>lifetable_all!I14</f>
        <v>9.2018555733375251E-5</v>
      </c>
    </row>
    <row r="13" spans="1:2" x14ac:dyDescent="0.2">
      <c r="A13">
        <v>11</v>
      </c>
      <c r="B13">
        <f>lifetable_all!I15</f>
        <v>9.789587784325704E-5</v>
      </c>
    </row>
    <row r="14" spans="1:2" x14ac:dyDescent="0.2">
      <c r="A14">
        <v>12</v>
      </c>
      <c r="B14">
        <f>lifetable_all!I16</f>
        <v>1.1269428068771958E-4</v>
      </c>
    </row>
    <row r="15" spans="1:2" x14ac:dyDescent="0.2">
      <c r="A15">
        <v>13</v>
      </c>
      <c r="B15">
        <f>lifetable_all!I17</f>
        <v>1.3793694961350411E-4</v>
      </c>
    </row>
    <row r="16" spans="1:2" x14ac:dyDescent="0.2">
      <c r="A16">
        <v>14</v>
      </c>
      <c r="B16">
        <f>lifetable_all!I18</f>
        <v>1.7166299221571535E-4</v>
      </c>
    </row>
    <row r="17" spans="1:2" x14ac:dyDescent="0.2">
      <c r="A17">
        <v>15</v>
      </c>
      <c r="B17">
        <f>lifetable_all!I19</f>
        <v>2.0998850231990218E-4</v>
      </c>
    </row>
    <row r="18" spans="1:2" x14ac:dyDescent="0.2">
      <c r="A18">
        <v>16</v>
      </c>
      <c r="B18">
        <f>lifetable_all!I20</f>
        <v>2.5020970497280359E-4</v>
      </c>
    </row>
    <row r="19" spans="1:2" x14ac:dyDescent="0.2">
      <c r="A19">
        <v>17</v>
      </c>
      <c r="B19">
        <f>lifetable_all!I21</f>
        <v>2.9255016124807298E-4</v>
      </c>
    </row>
    <row r="20" spans="1:2" x14ac:dyDescent="0.2">
      <c r="A20">
        <v>18</v>
      </c>
      <c r="B20">
        <f>lifetable_all!I22</f>
        <v>3.3566230558790267E-4</v>
      </c>
    </row>
    <row r="21" spans="1:2" x14ac:dyDescent="0.2">
      <c r="A21">
        <v>19</v>
      </c>
      <c r="B21">
        <f>lifetable_all!I23</f>
        <v>3.7903472548350692E-4</v>
      </c>
    </row>
    <row r="22" spans="1:2" x14ac:dyDescent="0.2">
      <c r="A22">
        <v>20</v>
      </c>
      <c r="B22">
        <f>lifetable_all!I24</f>
        <v>4.244505544193089E-4</v>
      </c>
    </row>
    <row r="23" spans="1:2" x14ac:dyDescent="0.2">
      <c r="A23">
        <v>21</v>
      </c>
      <c r="B23">
        <f>lifetable_all!I25</f>
        <v>4.7057535266503692E-4</v>
      </c>
    </row>
    <row r="24" spans="1:2" x14ac:dyDescent="0.2">
      <c r="A24">
        <v>22</v>
      </c>
      <c r="B24">
        <f>lifetable_all!I26</f>
        <v>5.1309901755303144E-4</v>
      </c>
    </row>
    <row r="25" spans="1:2" x14ac:dyDescent="0.2">
      <c r="A25">
        <v>23</v>
      </c>
      <c r="B25">
        <f>lifetable_all!I27</f>
        <v>5.4998509585857391E-4</v>
      </c>
    </row>
    <row r="26" spans="1:2" x14ac:dyDescent="0.2">
      <c r="A26">
        <v>24</v>
      </c>
      <c r="B26">
        <f>lifetable_all!I28</f>
        <v>5.8267998974770308E-4</v>
      </c>
    </row>
    <row r="27" spans="1:2" x14ac:dyDescent="0.2">
      <c r="A27">
        <v>25</v>
      </c>
      <c r="B27">
        <f>lifetable_all!I29</f>
        <v>6.1345921130850911E-4</v>
      </c>
    </row>
    <row r="28" spans="1:2" x14ac:dyDescent="0.2">
      <c r="A28">
        <v>26</v>
      </c>
      <c r="B28">
        <f>lifetable_all!I30</f>
        <v>6.4568896777927876E-4</v>
      </c>
    </row>
    <row r="29" spans="1:2" x14ac:dyDescent="0.2">
      <c r="A29">
        <v>27</v>
      </c>
      <c r="B29">
        <f>lifetable_all!I31</f>
        <v>6.8173068575561047E-4</v>
      </c>
    </row>
    <row r="30" spans="1:2" x14ac:dyDescent="0.2">
      <c r="A30">
        <v>28</v>
      </c>
      <c r="B30">
        <f>lifetable_all!I32</f>
        <v>7.2449375875294209E-4</v>
      </c>
    </row>
    <row r="31" spans="1:2" x14ac:dyDescent="0.2">
      <c r="A31">
        <v>29</v>
      </c>
      <c r="B31">
        <f>lifetable_all!I33</f>
        <v>7.7376619447022676E-4</v>
      </c>
    </row>
    <row r="32" spans="1:2" x14ac:dyDescent="0.2">
      <c r="A32">
        <v>30</v>
      </c>
      <c r="B32">
        <f>lifetable_all!I34</f>
        <v>8.2845939323306084E-4</v>
      </c>
    </row>
    <row r="33" spans="1:2" x14ac:dyDescent="0.2">
      <c r="A33">
        <v>31</v>
      </c>
      <c r="B33">
        <f>lifetable_all!I35</f>
        <v>8.8473310461267829E-4</v>
      </c>
    </row>
    <row r="34" spans="1:2" x14ac:dyDescent="0.2">
      <c r="A34">
        <v>32</v>
      </c>
      <c r="B34">
        <f>lifetable_all!I36</f>
        <v>9.3950657173991203E-4</v>
      </c>
    </row>
    <row r="35" spans="1:2" x14ac:dyDescent="0.2">
      <c r="A35">
        <v>33</v>
      </c>
      <c r="B35">
        <f>lifetable_all!I37</f>
        <v>9.8923617042601109E-4</v>
      </c>
    </row>
    <row r="36" spans="1:2" x14ac:dyDescent="0.2">
      <c r="A36">
        <v>34</v>
      </c>
      <c r="B36">
        <f>lifetable_all!I38</f>
        <v>1.0355460690334439E-3</v>
      </c>
    </row>
    <row r="37" spans="1:2" x14ac:dyDescent="0.2">
      <c r="A37">
        <v>35</v>
      </c>
      <c r="B37">
        <f>lifetable_all!I39</f>
        <v>1.0866472730413079E-3</v>
      </c>
    </row>
    <row r="38" spans="1:2" x14ac:dyDescent="0.2">
      <c r="A38">
        <v>36</v>
      </c>
      <c r="B38">
        <f>lifetable_all!I40</f>
        <v>1.1441981187090278E-3</v>
      </c>
    </row>
    <row r="39" spans="1:2" x14ac:dyDescent="0.2">
      <c r="A39">
        <v>37</v>
      </c>
      <c r="B39">
        <f>lifetable_all!I41</f>
        <v>1.2029183562844992E-3</v>
      </c>
    </row>
    <row r="40" spans="1:2" x14ac:dyDescent="0.2">
      <c r="A40">
        <v>38</v>
      </c>
      <c r="B40">
        <f>lifetable_all!I42</f>
        <v>1.2640721397474408E-3</v>
      </c>
    </row>
    <row r="41" spans="1:2" x14ac:dyDescent="0.2">
      <c r="A41">
        <v>39</v>
      </c>
      <c r="B41">
        <f>lifetable_all!I43</f>
        <v>1.3324045576155186E-3</v>
      </c>
    </row>
    <row r="42" spans="1:2" x14ac:dyDescent="0.2">
      <c r="A42">
        <v>40</v>
      </c>
      <c r="B42">
        <f>lifetable_all!I44</f>
        <v>1.4142458094283938E-3</v>
      </c>
    </row>
    <row r="43" spans="1:2" x14ac:dyDescent="0.2">
      <c r="A43">
        <v>41</v>
      </c>
      <c r="B43">
        <f>lifetable_all!I45</f>
        <v>1.5130065148696303E-3</v>
      </c>
    </row>
    <row r="44" spans="1:2" x14ac:dyDescent="0.2">
      <c r="A44">
        <v>42</v>
      </c>
      <c r="B44">
        <f>lifetable_all!I46</f>
        <v>1.6263265861198306E-3</v>
      </c>
    </row>
    <row r="45" spans="1:2" x14ac:dyDescent="0.2">
      <c r="A45">
        <v>43</v>
      </c>
      <c r="B45">
        <f>lifetable_all!I47</f>
        <v>1.7503334674984217E-3</v>
      </c>
    </row>
    <row r="46" spans="1:2" x14ac:dyDescent="0.2">
      <c r="A46">
        <v>44</v>
      </c>
      <c r="B46">
        <f>lifetable_all!I48</f>
        <v>1.8833458889275789E-3</v>
      </c>
    </row>
    <row r="47" spans="1:2" x14ac:dyDescent="0.2">
      <c r="A47">
        <v>45</v>
      </c>
      <c r="B47">
        <f>lifetable_all!I49</f>
        <v>2.0247714128345251E-3</v>
      </c>
    </row>
    <row r="48" spans="1:2" x14ac:dyDescent="0.2">
      <c r="A48">
        <v>46</v>
      </c>
      <c r="B48">
        <f>lifetable_all!I50</f>
        <v>2.1826105657964945E-3</v>
      </c>
    </row>
    <row r="49" spans="1:2" x14ac:dyDescent="0.2">
      <c r="A49">
        <v>47</v>
      </c>
      <c r="B49">
        <f>lifetable_all!I51</f>
        <v>2.3659262806177139E-3</v>
      </c>
    </row>
    <row r="50" spans="1:2" x14ac:dyDescent="0.2">
      <c r="A50">
        <v>48</v>
      </c>
      <c r="B50">
        <f>lifetable_all!I52</f>
        <v>2.5838462170213461E-3</v>
      </c>
    </row>
    <row r="51" spans="1:2" x14ac:dyDescent="0.2">
      <c r="A51">
        <v>49</v>
      </c>
      <c r="B51">
        <f>lifetable_all!I53</f>
        <v>2.8362697921693325E-3</v>
      </c>
    </row>
    <row r="52" spans="1:2" x14ac:dyDescent="0.2">
      <c r="A52">
        <v>50</v>
      </c>
      <c r="B52">
        <f>lifetable_all!I54</f>
        <v>3.1050015240907669E-3</v>
      </c>
    </row>
    <row r="53" spans="1:2" x14ac:dyDescent="0.2">
      <c r="A53">
        <v>51</v>
      </c>
      <c r="B53">
        <f>lifetable_all!I55</f>
        <v>3.390508471056819E-3</v>
      </c>
    </row>
    <row r="54" spans="1:2" x14ac:dyDescent="0.2">
      <c r="A54">
        <v>52</v>
      </c>
      <c r="B54">
        <f>lifetable_all!I56</f>
        <v>3.7114568985998631E-3</v>
      </c>
    </row>
    <row r="55" spans="1:2" x14ac:dyDescent="0.2">
      <c r="A55">
        <v>53</v>
      </c>
      <c r="B55">
        <f>lifetable_all!I57</f>
        <v>4.0661734528839588E-3</v>
      </c>
    </row>
    <row r="56" spans="1:2" x14ac:dyDescent="0.2">
      <c r="A56">
        <v>54</v>
      </c>
      <c r="B56">
        <f>lifetable_all!I58</f>
        <v>4.4412612915039062E-3</v>
      </c>
    </row>
    <row r="57" spans="1:2" x14ac:dyDescent="0.2">
      <c r="A57">
        <v>55</v>
      </c>
      <c r="B57">
        <f>lifetable_all!I59</f>
        <v>4.8293191939592361E-3</v>
      </c>
    </row>
    <row r="58" spans="1:2" x14ac:dyDescent="0.2">
      <c r="A58">
        <v>56</v>
      </c>
      <c r="B58">
        <f>lifetable_all!I60</f>
        <v>5.2210059948265553E-3</v>
      </c>
    </row>
    <row r="59" spans="1:2" x14ac:dyDescent="0.2">
      <c r="A59">
        <v>57</v>
      </c>
      <c r="B59">
        <f>lifetable_all!I61</f>
        <v>5.6132902391254902E-3</v>
      </c>
    </row>
    <row r="60" spans="1:2" x14ac:dyDescent="0.2">
      <c r="A60">
        <v>58</v>
      </c>
      <c r="B60">
        <f>lifetable_all!I62</f>
        <v>6.0113845393061638E-3</v>
      </c>
    </row>
    <row r="61" spans="1:2" x14ac:dyDescent="0.2">
      <c r="A61">
        <v>59</v>
      </c>
      <c r="B61">
        <f>lifetable_all!I63</f>
        <v>6.4290929585695267E-3</v>
      </c>
    </row>
    <row r="62" spans="1:2" x14ac:dyDescent="0.2">
      <c r="A62">
        <v>60</v>
      </c>
      <c r="B62">
        <f>lifetable_all!I64</f>
        <v>6.8804412148892879E-3</v>
      </c>
    </row>
    <row r="63" spans="1:2" x14ac:dyDescent="0.2">
      <c r="A63">
        <v>61</v>
      </c>
      <c r="B63">
        <f>lifetable_all!I65</f>
        <v>7.3711993172764778E-3</v>
      </c>
    </row>
    <row r="64" spans="1:2" x14ac:dyDescent="0.2">
      <c r="A64">
        <v>62</v>
      </c>
      <c r="B64">
        <f>lifetable_all!I66</f>
        <v>7.9033896327018738E-3</v>
      </c>
    </row>
    <row r="65" spans="1:2" x14ac:dyDescent="0.2">
      <c r="A65">
        <v>63</v>
      </c>
      <c r="B65">
        <f>lifetable_all!I67</f>
        <v>8.4809288382530212E-3</v>
      </c>
    </row>
    <row r="66" spans="1:2" x14ac:dyDescent="0.2">
      <c r="A66">
        <v>64</v>
      </c>
      <c r="B66">
        <f>lifetable_all!I68</f>
        <v>9.1108689084649086E-3</v>
      </c>
    </row>
    <row r="67" spans="1:2" x14ac:dyDescent="0.2">
      <c r="A67">
        <v>65</v>
      </c>
      <c r="B67">
        <f>lifetable_all!I69</f>
        <v>9.7929807379841805E-3</v>
      </c>
    </row>
    <row r="68" spans="1:2" x14ac:dyDescent="0.2">
      <c r="A68">
        <v>66</v>
      </c>
      <c r="B68">
        <f>lifetable_all!I70</f>
        <v>1.0567729361355305E-2</v>
      </c>
    </row>
    <row r="69" spans="1:2" x14ac:dyDescent="0.2">
      <c r="A69">
        <v>67</v>
      </c>
      <c r="B69">
        <f>lifetable_all!I71</f>
        <v>1.1436491273343563E-2</v>
      </c>
    </row>
    <row r="70" spans="1:2" x14ac:dyDescent="0.2">
      <c r="A70">
        <v>68</v>
      </c>
      <c r="B70">
        <f>lifetable_all!I72</f>
        <v>1.247374527156353E-2</v>
      </c>
    </row>
    <row r="71" spans="1:2" x14ac:dyDescent="0.2">
      <c r="A71">
        <v>69</v>
      </c>
      <c r="B71">
        <f>lifetable_all!I73</f>
        <v>1.3659073039889336E-2</v>
      </c>
    </row>
    <row r="72" spans="1:2" x14ac:dyDescent="0.2">
      <c r="A72">
        <v>70</v>
      </c>
      <c r="B72">
        <f>lifetable_all!I74</f>
        <v>1.4881229028105736E-2</v>
      </c>
    </row>
    <row r="73" spans="1:2" x14ac:dyDescent="0.2">
      <c r="A73">
        <v>71</v>
      </c>
      <c r="B73">
        <f>lifetable_all!I75</f>
        <v>1.6529232263565063E-2</v>
      </c>
    </row>
    <row r="74" spans="1:2" x14ac:dyDescent="0.2">
      <c r="A74">
        <v>72</v>
      </c>
      <c r="B74">
        <f>lifetable_all!I76</f>
        <v>1.8210263922810555E-2</v>
      </c>
    </row>
    <row r="75" spans="1:2" x14ac:dyDescent="0.2">
      <c r="A75">
        <v>73</v>
      </c>
      <c r="B75">
        <f>lifetable_all!I77</f>
        <v>2.0010983571410179E-2</v>
      </c>
    </row>
    <row r="76" spans="1:2" x14ac:dyDescent="0.2">
      <c r="A76">
        <v>74</v>
      </c>
      <c r="B76">
        <f>lifetable_all!I78</f>
        <v>2.1903079003095627E-2</v>
      </c>
    </row>
    <row r="77" spans="1:2" x14ac:dyDescent="0.2">
      <c r="A77">
        <v>75</v>
      </c>
      <c r="B77">
        <f>lifetable_all!I79</f>
        <v>2.4321969598531723E-2</v>
      </c>
    </row>
    <row r="78" spans="1:2" x14ac:dyDescent="0.2">
      <c r="A78">
        <v>76</v>
      </c>
      <c r="B78">
        <f>lifetable_all!I80</f>
        <v>2.6898579671978951E-2</v>
      </c>
    </row>
    <row r="79" spans="1:2" x14ac:dyDescent="0.2">
      <c r="A79">
        <v>77</v>
      </c>
      <c r="B79">
        <f>lifetable_all!I81</f>
        <v>2.9885623604059219E-2</v>
      </c>
    </row>
    <row r="80" spans="1:2" x14ac:dyDescent="0.2">
      <c r="A80">
        <v>78</v>
      </c>
      <c r="B80">
        <f>lifetable_all!I82</f>
        <v>3.3412754535675049E-2</v>
      </c>
    </row>
    <row r="81" spans="1:2" x14ac:dyDescent="0.2">
      <c r="A81">
        <v>79</v>
      </c>
      <c r="B81">
        <f>lifetable_all!I83</f>
        <v>3.7064902484416962E-2</v>
      </c>
    </row>
    <row r="82" spans="1:2" x14ac:dyDescent="0.2">
      <c r="A82">
        <v>80</v>
      </c>
      <c r="B82">
        <f>lifetable_all!I84</f>
        <v>4.147796705365181E-2</v>
      </c>
    </row>
    <row r="83" spans="1:2" x14ac:dyDescent="0.2">
      <c r="A83">
        <v>81</v>
      </c>
      <c r="B83">
        <f>lifetable_all!I85</f>
        <v>4.6149767935276031E-2</v>
      </c>
    </row>
    <row r="84" spans="1:2" x14ac:dyDescent="0.2">
      <c r="A84">
        <v>82</v>
      </c>
      <c r="B84">
        <f>lifetable_all!I86</f>
        <v>5.1680829375982285E-2</v>
      </c>
    </row>
    <row r="85" spans="1:2" x14ac:dyDescent="0.2">
      <c r="A85">
        <v>83</v>
      </c>
      <c r="B85">
        <f>lifetable_all!I87</f>
        <v>5.8587189763784409E-2</v>
      </c>
    </row>
    <row r="86" spans="1:2" x14ac:dyDescent="0.2">
      <c r="A86">
        <v>84</v>
      </c>
      <c r="B86">
        <f>lifetable_all!I88</f>
        <v>6.5586209297180176E-2</v>
      </c>
    </row>
    <row r="87" spans="1:2" x14ac:dyDescent="0.2">
      <c r="A87">
        <v>85</v>
      </c>
      <c r="B87">
        <f>lifetable_all!I89</f>
        <v>7.2854951024055481E-2</v>
      </c>
    </row>
    <row r="88" spans="1:2" x14ac:dyDescent="0.2">
      <c r="A88">
        <v>86</v>
      </c>
      <c r="B88">
        <f>lifetable_all!I90</f>
        <v>8.1114701926708221E-2</v>
      </c>
    </row>
    <row r="89" spans="1:2" x14ac:dyDescent="0.2">
      <c r="A89">
        <v>87</v>
      </c>
      <c r="B89">
        <f>lifetable_all!I91</f>
        <v>9.1617569327354431E-2</v>
      </c>
    </row>
    <row r="90" spans="1:2" x14ac:dyDescent="0.2">
      <c r="A90">
        <v>88</v>
      </c>
      <c r="B90">
        <f>lifetable_all!I92</f>
        <v>0.10324060171842575</v>
      </c>
    </row>
    <row r="91" spans="1:2" x14ac:dyDescent="0.2">
      <c r="A91">
        <v>89</v>
      </c>
      <c r="B91">
        <f>lifetable_all!I93</f>
        <v>0.11604062467813492</v>
      </c>
    </row>
    <row r="92" spans="1:2" x14ac:dyDescent="0.2">
      <c r="A92">
        <v>90</v>
      </c>
      <c r="B92">
        <f>lifetable_all!I94</f>
        <v>0.13006128370761871</v>
      </c>
    </row>
    <row r="93" spans="1:2" x14ac:dyDescent="0.2">
      <c r="A93">
        <v>91</v>
      </c>
      <c r="B93">
        <f>lifetable_all!I95</f>
        <v>0.14532890915870667</v>
      </c>
    </row>
    <row r="94" spans="1:2" x14ac:dyDescent="0.2">
      <c r="A94">
        <v>92</v>
      </c>
      <c r="B94">
        <f>lifetable_all!I96</f>
        <v>0.16184815764427185</v>
      </c>
    </row>
    <row r="95" spans="1:2" x14ac:dyDescent="0.2">
      <c r="A95">
        <v>93</v>
      </c>
      <c r="B95">
        <f>lifetable_all!I97</f>
        <v>0.17959828674793243</v>
      </c>
    </row>
    <row r="96" spans="1:2" x14ac:dyDescent="0.2">
      <c r="A96">
        <v>94</v>
      </c>
      <c r="B96">
        <f>lifetable_all!I98</f>
        <v>0.19852951169013977</v>
      </c>
    </row>
    <row r="97" spans="1:2" x14ac:dyDescent="0.2">
      <c r="A97">
        <v>95</v>
      </c>
      <c r="B97">
        <f>lifetable_all!I99</f>
        <v>0.2185608297586441</v>
      </c>
    </row>
    <row r="98" spans="1:2" x14ac:dyDescent="0.2">
      <c r="A98">
        <v>96</v>
      </c>
      <c r="B98">
        <f>lifetable_all!I100</f>
        <v>0.23957890272140503</v>
      </c>
    </row>
    <row r="99" spans="1:2" x14ac:dyDescent="0.2">
      <c r="A99">
        <v>97</v>
      </c>
      <c r="B99">
        <f>lifetable_all!I101</f>
        <v>0.26143896579742432</v>
      </c>
    </row>
    <row r="100" spans="1:2" x14ac:dyDescent="0.2">
      <c r="A100">
        <v>98</v>
      </c>
      <c r="B100">
        <f>lifetable_all!I102</f>
        <v>0.28396740555763245</v>
      </c>
    </row>
    <row r="101" spans="1:2" x14ac:dyDescent="0.2">
      <c r="A101">
        <v>99</v>
      </c>
      <c r="B101">
        <f>lifetable_all!I103</f>
        <v>0.306966632604599</v>
      </c>
    </row>
    <row r="102" spans="1:2" x14ac:dyDescent="0.2">
      <c r="A102">
        <v>100</v>
      </c>
      <c r="B102">
        <f>lifetable_all!I104</f>
        <v>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MSW</vt:lpstr>
      <vt:lpstr>MSM</vt:lpstr>
      <vt:lpstr>nonpreg_women</vt:lpstr>
      <vt:lpstr>preg_women</vt:lpstr>
      <vt:lpstr>pTestTreat_women</vt:lpstr>
      <vt:lpstr>LifetimeQALYloss_CS</vt:lpstr>
      <vt:lpstr>age_disutility</vt:lpstr>
      <vt:lpstr>lifetable_m</vt:lpstr>
      <vt:lpstr>lifetable_f</vt:lpstr>
      <vt:lpstr>lifetable_all</vt:lpstr>
      <vt:lpstr>excessmortality_TS</vt:lpstr>
      <vt:lpstr>parameter_all</vt:lpstr>
      <vt:lpstr>QALY aggregation</vt:lpstr>
      <vt:lpstr>pregStageatDiag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Kyueun Lee</dc:creator>
  <cp:lastModifiedBy>kyueunl</cp:lastModifiedBy>
  <cp:lastPrinted>2020-06-08T14:45:33Z</cp:lastPrinted>
  <dcterms:created xsi:type="dcterms:W3CDTF">2020-04-21T04:01:59Z</dcterms:created>
  <dcterms:modified xsi:type="dcterms:W3CDTF">2024-10-14T17:57:46Z</dcterms:modified>
</cp:coreProperties>
</file>