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eunlee/Library/CloudStorage/GoogleDrive-leex5499@umn.edu/My Drive/Z Drive/Project_all/2020/CDC_STD/run/11032021/"/>
    </mc:Choice>
  </mc:AlternateContent>
  <xr:revisionPtr revIDLastSave="0" documentId="13_ncr:1_{A9785830-5283-044C-829F-1A0A73F0C8E2}" xr6:coauthVersionLast="47" xr6:coauthVersionMax="47" xr10:uidLastSave="{00000000-0000-0000-0000-000000000000}"/>
  <bookViews>
    <workbookView xWindow="0" yWindow="500" windowWidth="38400" windowHeight="19520" activeTab="9" xr2:uid="{795591A2-AAC9-A64E-BA7A-A62BF3C04AC8}"/>
  </bookViews>
  <sheets>
    <sheet name="age_QALY_psa (nodisc)" sheetId="7" r:id="rId1"/>
    <sheet name="avg_QALY_psa (nodisc)" sheetId="8" r:id="rId2"/>
    <sheet name="avg_QALY_cong_psa (nodisc)" sheetId="9" r:id="rId3"/>
    <sheet name="age_QALY_psa" sheetId="1" r:id="rId4"/>
    <sheet name="avg_QALY_psa" sheetId="2" r:id="rId5"/>
    <sheet name="avg_QALY_cong_psa" sheetId="3" r:id="rId6"/>
    <sheet name="TableS11" sheetId="10" r:id="rId7"/>
    <sheet name="age_QALY_base" sheetId="4" r:id="rId8"/>
    <sheet name="avg_QALY_base" sheetId="5" r:id="rId9"/>
    <sheet name="avg_QALY_cong_base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0" l="1"/>
  <c r="P39" i="10"/>
  <c r="P26" i="10"/>
  <c r="L26" i="10"/>
  <c r="P13" i="10"/>
  <c r="L13" i="10"/>
  <c r="F39" i="10"/>
  <c r="F26" i="10"/>
  <c r="F13" i="10"/>
  <c r="H25" i="10"/>
  <c r="H24" i="10"/>
  <c r="H23" i="10"/>
  <c r="H22" i="10"/>
  <c r="H21" i="10"/>
  <c r="H20" i="10"/>
  <c r="H19" i="10"/>
  <c r="H18" i="10"/>
  <c r="B26" i="10" s="1"/>
  <c r="H17" i="10"/>
  <c r="H16" i="10"/>
  <c r="B39" i="10"/>
  <c r="B13" i="10"/>
  <c r="H38" i="10"/>
  <c r="H37" i="10"/>
  <c r="H36" i="10"/>
  <c r="H35" i="10"/>
  <c r="H34" i="10"/>
  <c r="H33" i="10"/>
  <c r="H32" i="10"/>
  <c r="H31" i="10"/>
  <c r="H30" i="10"/>
  <c r="H29" i="10"/>
  <c r="R38" i="10"/>
  <c r="R37" i="10"/>
  <c r="R36" i="10"/>
  <c r="R35" i="10"/>
  <c r="R34" i="10"/>
  <c r="R33" i="10"/>
  <c r="R32" i="10"/>
  <c r="R31" i="10"/>
  <c r="R30" i="10"/>
  <c r="R29" i="10"/>
  <c r="R25" i="10"/>
  <c r="R24" i="10"/>
  <c r="R23" i="10"/>
  <c r="R22" i="10"/>
  <c r="R21" i="10"/>
  <c r="R20" i="10"/>
  <c r="R19" i="10"/>
  <c r="R18" i="10"/>
  <c r="R17" i="10"/>
  <c r="R16" i="10"/>
  <c r="R12" i="10"/>
  <c r="R11" i="10"/>
  <c r="R10" i="10"/>
  <c r="R9" i="10"/>
  <c r="R8" i="10"/>
  <c r="R7" i="10"/>
  <c r="R6" i="10"/>
  <c r="R5" i="10"/>
  <c r="R4" i="10"/>
  <c r="R3" i="10"/>
  <c r="H4" i="10"/>
  <c r="H5" i="10"/>
  <c r="H6" i="10"/>
  <c r="H7" i="10"/>
  <c r="H8" i="10"/>
  <c r="H9" i="10"/>
  <c r="H10" i="10"/>
  <c r="H11" i="10"/>
  <c r="H12" i="10"/>
  <c r="H3" i="10"/>
  <c r="N30" i="10" l="1"/>
  <c r="O30" i="10" s="1"/>
  <c r="P30" i="10" s="1"/>
  <c r="N31" i="10"/>
  <c r="N32" i="10"/>
  <c r="O32" i="10" s="1"/>
  <c r="P32" i="10" s="1"/>
  <c r="N33" i="10"/>
  <c r="N34" i="10"/>
  <c r="N35" i="10"/>
  <c r="O35" i="10" s="1"/>
  <c r="P35" i="10" s="1"/>
  <c r="N36" i="10"/>
  <c r="O36" i="10" s="1"/>
  <c r="P36" i="10" s="1"/>
  <c r="N37" i="10"/>
  <c r="O37" i="10" s="1"/>
  <c r="P37" i="10" s="1"/>
  <c r="N38" i="10"/>
  <c r="N29" i="10"/>
  <c r="O29" i="10" s="1"/>
  <c r="P29" i="10" s="1"/>
  <c r="N17" i="10"/>
  <c r="O17" i="10" s="1"/>
  <c r="P17" i="10" s="1"/>
  <c r="N18" i="10"/>
  <c r="O18" i="10" s="1"/>
  <c r="P18" i="10" s="1"/>
  <c r="N19" i="10"/>
  <c r="O19" i="10" s="1"/>
  <c r="P19" i="10" s="1"/>
  <c r="N20" i="10"/>
  <c r="O20" i="10" s="1"/>
  <c r="P20" i="10" s="1"/>
  <c r="N21" i="10"/>
  <c r="O21" i="10" s="1"/>
  <c r="P21" i="10" s="1"/>
  <c r="N22" i="10"/>
  <c r="O22" i="10" s="1"/>
  <c r="P22" i="10" s="1"/>
  <c r="N23" i="10"/>
  <c r="O23" i="10" s="1"/>
  <c r="P23" i="10" s="1"/>
  <c r="N24" i="10"/>
  <c r="O24" i="10" s="1"/>
  <c r="P24" i="10" s="1"/>
  <c r="N25" i="10"/>
  <c r="O25" i="10" s="1"/>
  <c r="P25" i="10" s="1"/>
  <c r="N16" i="10"/>
  <c r="O16" i="10" s="1"/>
  <c r="P16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D35" i="10"/>
  <c r="D36" i="10"/>
  <c r="E36" i="10" s="1"/>
  <c r="F36" i="10" s="1"/>
  <c r="D37" i="10"/>
  <c r="E37" i="10" s="1"/>
  <c r="F37" i="10" s="1"/>
  <c r="D38" i="10"/>
  <c r="D29" i="10"/>
  <c r="E29" i="10" s="1"/>
  <c r="F29" i="10" s="1"/>
  <c r="D17" i="10"/>
  <c r="E17" i="10" s="1"/>
  <c r="F17" i="10" s="1"/>
  <c r="D18" i="10"/>
  <c r="E18" i="10" s="1"/>
  <c r="F18" i="10" s="1"/>
  <c r="D19" i="10"/>
  <c r="D20" i="10"/>
  <c r="D21" i="10"/>
  <c r="E21" i="10" s="1"/>
  <c r="F21" i="10" s="1"/>
  <c r="D22" i="10"/>
  <c r="E22" i="10" s="1"/>
  <c r="F22" i="10" s="1"/>
  <c r="D23" i="10"/>
  <c r="E23" i="10" s="1"/>
  <c r="F23" i="10" s="1"/>
  <c r="D24" i="10"/>
  <c r="E24" i="10" s="1"/>
  <c r="F24" i="10" s="1"/>
  <c r="D25" i="10"/>
  <c r="E25" i="10" s="1"/>
  <c r="F25" i="10" s="1"/>
  <c r="D16" i="10"/>
  <c r="E16" i="10" s="1"/>
  <c r="F16" i="10" s="1"/>
  <c r="O38" i="10"/>
  <c r="P38" i="10" s="1"/>
  <c r="O31" i="10"/>
  <c r="P31" i="10" s="1"/>
  <c r="N4" i="10"/>
  <c r="O4" i="10" s="1"/>
  <c r="P4" i="10" s="1"/>
  <c r="N5" i="10"/>
  <c r="O5" i="10" s="1"/>
  <c r="P5" i="10" s="1"/>
  <c r="N6" i="10"/>
  <c r="O6" i="10" s="1"/>
  <c r="P6" i="10" s="1"/>
  <c r="N7" i="10"/>
  <c r="O7" i="10" s="1"/>
  <c r="P7" i="10" s="1"/>
  <c r="N8" i="10"/>
  <c r="N9" i="10"/>
  <c r="O9" i="10" s="1"/>
  <c r="P9" i="10" s="1"/>
  <c r="N10" i="10"/>
  <c r="O10" i="10" s="1"/>
  <c r="P10" i="10" s="1"/>
  <c r="N11" i="10"/>
  <c r="O11" i="10" s="1"/>
  <c r="P11" i="10" s="1"/>
  <c r="N12" i="10"/>
  <c r="O12" i="10" s="1"/>
  <c r="P12" i="10" s="1"/>
  <c r="N3" i="10"/>
  <c r="O3" i="10" s="1"/>
  <c r="P3" i="10" s="1"/>
  <c r="E38" i="10"/>
  <c r="F38" i="10" s="1"/>
  <c r="E35" i="10"/>
  <c r="F35" i="10" s="1"/>
  <c r="E34" i="10"/>
  <c r="F34" i="10" s="1"/>
  <c r="E20" i="10"/>
  <c r="F20" i="10" s="1"/>
  <c r="E19" i="10"/>
  <c r="F19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O34" i="10"/>
  <c r="P34" i="10" s="1"/>
  <c r="O33" i="10"/>
  <c r="P33" i="10" s="1"/>
  <c r="O8" i="10"/>
  <c r="P8" i="10" s="1"/>
  <c r="G3" i="9" l="1"/>
  <c r="G2" i="9"/>
  <c r="E3" i="9"/>
  <c r="E2" i="9"/>
  <c r="C2" i="9"/>
  <c r="C3" i="9"/>
  <c r="G3" i="3" l="1"/>
  <c r="G2" i="3"/>
  <c r="E3" i="3"/>
  <c r="E2" i="3"/>
  <c r="C3" i="3"/>
  <c r="C2" i="3"/>
  <c r="G5" i="8"/>
  <c r="G4" i="8"/>
  <c r="G6" i="8" s="1"/>
  <c r="G3" i="8"/>
  <c r="G2" i="8"/>
  <c r="E5" i="8"/>
  <c r="E4" i="8"/>
  <c r="E6" i="8" s="1"/>
  <c r="E3" i="8"/>
  <c r="E2" i="8"/>
  <c r="C5" i="8"/>
  <c r="C4" i="8"/>
  <c r="C3" i="8"/>
  <c r="C2" i="8"/>
  <c r="C3" i="2"/>
  <c r="C4" i="2"/>
  <c r="C5" i="2"/>
  <c r="G5" i="2"/>
  <c r="G4" i="2"/>
  <c r="G3" i="2"/>
  <c r="G2" i="2"/>
  <c r="E5" i="2"/>
  <c r="E4" i="2"/>
  <c r="E3" i="2"/>
  <c r="E2" i="2"/>
  <c r="C2" i="2"/>
  <c r="C6" i="8" l="1"/>
  <c r="E6" i="2"/>
  <c r="C6" i="2"/>
  <c r="G6" i="2"/>
  <c r="G6" i="5"/>
  <c r="E6" i="5"/>
  <c r="C5" i="5"/>
  <c r="C3" i="5"/>
  <c r="C2" i="5"/>
  <c r="C4" i="5" s="1"/>
  <c r="C6" i="5" l="1"/>
  <c r="G3" i="6"/>
  <c r="G2" i="6"/>
  <c r="E3" i="6"/>
  <c r="E2" i="6"/>
  <c r="C2" i="6"/>
  <c r="C3" i="6"/>
  <c r="G5" i="5"/>
  <c r="E5" i="5"/>
  <c r="G4" i="5"/>
  <c r="E4" i="5"/>
  <c r="G3" i="5"/>
  <c r="E3" i="5"/>
  <c r="G2" i="5"/>
  <c r="E2" i="5"/>
</calcChain>
</file>

<file path=xl/sharedStrings.xml><?xml version="1.0" encoding="utf-8"?>
<sst xmlns="http://schemas.openxmlformats.org/spreadsheetml/2006/main" count="267" uniqueCount="56">
  <si>
    <t>MSW</t>
  </si>
  <si>
    <t>MSM</t>
  </si>
  <si>
    <t>Non-pregnant women</t>
  </si>
  <si>
    <t>Pregnant women</t>
  </si>
  <si>
    <t>0-4</t>
  </si>
  <si>
    <t>5-9</t>
  </si>
  <si>
    <t>15-19</t>
  </si>
  <si>
    <t>20-24</t>
  </si>
  <si>
    <t>25-29</t>
  </si>
  <si>
    <t>30-34</t>
  </si>
  <si>
    <t>35-39</t>
  </si>
  <si>
    <t>40-44</t>
  </si>
  <si>
    <t>45-54</t>
  </si>
  <si>
    <t>55-64</t>
  </si>
  <si>
    <t>65+</t>
  </si>
  <si>
    <t>Age</t>
  </si>
  <si>
    <t>10-14</t>
  </si>
  <si>
    <t>Women</t>
  </si>
  <si>
    <t>Population</t>
  </si>
  <si>
    <t>Men</t>
  </si>
  <si>
    <t>avg_QALY</t>
  </si>
  <si>
    <t>tot_QALY</t>
  </si>
  <si>
    <t>pop</t>
  </si>
  <si>
    <t>mother</t>
  </si>
  <si>
    <t>baby</t>
  </si>
  <si>
    <t>MSW_lb</t>
  </si>
  <si>
    <t>MSM_lb</t>
  </si>
  <si>
    <t>Non-pregnant women_lb</t>
  </si>
  <si>
    <t>Pregnant women_lb</t>
  </si>
  <si>
    <t>Women_lb</t>
  </si>
  <si>
    <t>MSW_ub</t>
  </si>
  <si>
    <t>MSM_ub</t>
  </si>
  <si>
    <t>Non-pregnant women_ub</t>
  </si>
  <si>
    <t>Pregnant women_ub</t>
  </si>
  <si>
    <t>Women_ub</t>
  </si>
  <si>
    <t>avg_QALY_lb</t>
  </si>
  <si>
    <t>avg_QALY_ub</t>
  </si>
  <si>
    <t>tot_QALY_lb</t>
  </si>
  <si>
    <t>tot_QALY_ub</t>
  </si>
  <si>
    <t>child</t>
  </si>
  <si>
    <t>Age (years)</t>
  </si>
  <si>
    <t>Without including QALYs lost due to CS</t>
  </si>
  <si>
    <t>% of pregnancy</t>
  </si>
  <si>
    <t>QALY loss due to CS per incidence of CS</t>
  </si>
  <si>
    <t>QALY loss due to CS per infection in women</t>
  </si>
  <si>
    <t>With including QALYs lost due to CS</t>
  </si>
  <si>
    <t>Undiscounted (mean)</t>
  </si>
  <si>
    <t>Undiscounted (lb)</t>
  </si>
  <si>
    <t>Discounted (mean)</t>
  </si>
  <si>
    <t>Discounted (lb)</t>
  </si>
  <si>
    <t>Age weight</t>
  </si>
  <si>
    <t>Discounted (ub)</t>
  </si>
  <si>
    <t>Undiscounted (ub)</t>
  </si>
  <si>
    <t>Average</t>
  </si>
  <si>
    <t>Age weight (%)</t>
  </si>
  <si>
    <t>Age weight (prop)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</si>
</sst>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000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6"/>
      <color rgb="FF000000"/>
      <name val="Source Sans Pro"/>
    </font>
    <font>
      <sz val="12"/>
      <color theme="1"/>
      <name val="Source Sans Pro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CE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49" fontId="1" fillId="2" borderId="1" xfId="0" applyNumberFormat="1" applyFont="1" applyFill="1" applyBorder="1" applyAlignment="1">
      <alignment horizontal="left" vertical="center" readingOrder="1"/>
    </xf>
    <xf numFmtId="0" fontId="2" fillId="0" borderId="1" xfId="0" applyFont="1" applyBorder="1" applyAlignment="1">
      <alignment horizontal="left" vertical="center" wrapText="1" readingOrder="1"/>
    </xf>
    <xf numFmtId="49" fontId="2" fillId="0" borderId="1" xfId="0" applyNumberFormat="1" applyFont="1" applyBorder="1" applyAlignment="1">
      <alignment horizontal="left" vertical="center" readingOrder="1"/>
    </xf>
    <xf numFmtId="164" fontId="2" fillId="0" borderId="1" xfId="0" applyNumberFormat="1" applyFont="1" applyBorder="1" applyAlignment="1">
      <alignment horizontal="left" vertical="center" wrapText="1" readingOrder="1"/>
    </xf>
    <xf numFmtId="2" fontId="0" fillId="0" borderId="0" xfId="0" applyNumberFormat="1"/>
    <xf numFmtId="0" fontId="3" fillId="0" borderId="0" xfId="0" applyFont="1"/>
    <xf numFmtId="165" fontId="0" fillId="0" borderId="0" xfId="0" applyNumberFormat="1"/>
    <xf numFmtId="49" fontId="2" fillId="3" borderId="1" xfId="0" applyNumberFormat="1" applyFont="1" applyFill="1" applyBorder="1" applyAlignment="1">
      <alignment horizontal="left" vertical="center" readingOrder="1"/>
    </xf>
    <xf numFmtId="0" fontId="0" fillId="3" borderId="0" xfId="0" applyFill="1"/>
    <xf numFmtId="2" fontId="0" fillId="3" borderId="0" xfId="0" applyNumberFormat="1" applyFill="1"/>
    <xf numFmtId="166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67" fontId="0" fillId="4" borderId="0" xfId="0" applyNumberFormat="1" applyFill="1"/>
    <xf numFmtId="0" fontId="3" fillId="5" borderId="0" xfId="0" applyFont="1" applyFill="1" applyAlignment="1">
      <alignment horizontal="center" vertical="center" wrapText="1"/>
    </xf>
    <xf numFmtId="167" fontId="0" fillId="5" borderId="0" xfId="0" applyNumberFormat="1" applyFill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ource Sans Pro"/>
        <scheme val="none"/>
      </font>
      <numFmt numFmtId="164" formatCode="0.00000"/>
      <fill>
        <patternFill patternType="solid">
          <fgColor rgb="FF000000"/>
          <bgColor rgb="FFDBCECC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ource Sans Pro"/>
        <scheme val="none"/>
      </font>
      <fill>
        <patternFill patternType="solid">
          <fgColor indexed="64"/>
          <bgColor rgb="FFDBCECC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ource Sans Pro"/>
        <scheme val="none"/>
      </font>
      <fill>
        <patternFill patternType="solid">
          <fgColor indexed="64"/>
          <bgColor rgb="FFDBCECC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font>
        <strike val="0"/>
        <outline val="0"/>
        <shadow val="0"/>
        <u val="none"/>
        <vertAlign val="baseline"/>
        <sz val="12"/>
        <color rgb="FF00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51EF36-7E4C-4548-88CB-9EAB8609CBDE}" name="Table14" displayName="Table14" ref="A1:P13" totalsRowShown="0" headerRowDxfId="41" dataDxfId="40" tableBorderDxfId="39">
  <tableColumns count="16">
    <tableColumn id="1" xr3:uid="{25C165F1-02B1-5D43-A5E4-E2657F7BAD52}" name="Age" dataDxfId="38"/>
    <tableColumn id="2" xr3:uid="{7C545D46-C7E4-904A-A58A-FEF5275126A3}" name="MSW" dataDxfId="37"/>
    <tableColumn id="3" xr3:uid="{EFA87FE9-3D16-4045-AB39-03B23EC1B85C}" name="MSM" dataDxfId="36"/>
    <tableColumn id="4" xr3:uid="{81270E40-12CF-3B4D-8A3C-04AEEC20E169}" name="Non-pregnant women" dataDxfId="35"/>
    <tableColumn id="5" xr3:uid="{44A3280F-FB8A-E74F-BBC9-4DEDBD233E6C}" name="Pregnant women" dataDxfId="34"/>
    <tableColumn id="6" xr3:uid="{9DB4390F-A61A-4043-9C7E-BA8E64308E3B}" name="Women" dataDxfId="33"/>
    <tableColumn id="7" xr3:uid="{F3BF4298-85B6-3E42-BEA7-895F853C0D75}" name="MSW_lb" dataDxfId="32"/>
    <tableColumn id="8" xr3:uid="{D86FEF35-BEDD-7E44-AB55-725788277667}" name="MSM_lb" dataDxfId="31"/>
    <tableColumn id="9" xr3:uid="{DEC0D492-FEE2-C842-8C33-934F67AAEC50}" name="Non-pregnant women_lb" dataDxfId="30"/>
    <tableColumn id="10" xr3:uid="{146A1699-4955-0B4C-800A-F7C6D8ABBDB7}" name="Pregnant women_lb" dataDxfId="29"/>
    <tableColumn id="11" xr3:uid="{33F93240-3AE8-4C44-8EC0-6677E20942DA}" name="Women_lb" dataDxfId="28"/>
    <tableColumn id="12" xr3:uid="{DEACEF48-08F9-D645-9B89-3BC688C0B3BB}" name="MSW_ub" dataDxfId="27"/>
    <tableColumn id="13" xr3:uid="{5F3217FC-D8EE-6048-939B-C8E8F487642E}" name="MSM_ub" dataDxfId="26"/>
    <tableColumn id="14" xr3:uid="{D9EC0FEF-696E-1E4B-8194-1F4E1372BB36}" name="Non-pregnant women_ub" dataDxfId="25"/>
    <tableColumn id="15" xr3:uid="{19F99534-6BE7-104E-BF62-62C6A7D5BB2A}" name="Pregnant women_ub" dataDxfId="24"/>
    <tableColumn id="16" xr3:uid="{5C7B1993-4FA2-D047-ACD8-83EF83EFB034}" name="Women_ub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B380D-44FC-AA42-B47A-DC2B4D39F82F}" name="Table1" displayName="Table1" ref="A1:P13" totalsRowShown="0" headerRowDxfId="22" dataDxfId="21" tableBorderDxfId="20">
  <tableColumns count="16">
    <tableColumn id="1" xr3:uid="{AC6D64FD-5788-DC48-9750-0B7A05117A58}" name="Age" dataDxfId="19"/>
    <tableColumn id="2" xr3:uid="{EB4814D7-5A2A-EC41-A62C-0CE827F07B36}" name="MSW" dataDxfId="18"/>
    <tableColumn id="3" xr3:uid="{D2BEE94A-6B8B-A245-ADB3-55E855B5790B}" name="MSM" dataDxfId="17"/>
    <tableColumn id="4" xr3:uid="{8D44F3B0-37D8-CC4F-AF15-AFEAF47B8ACC}" name="Non-pregnant women" dataDxfId="16"/>
    <tableColumn id="5" xr3:uid="{412062D1-CE8D-8A40-9D42-E188015DED07}" name="Pregnant women" dataDxfId="15"/>
    <tableColumn id="6" xr3:uid="{AB7303D8-0BD8-9842-A07C-9C5DD862DBC6}" name="Women" dataDxfId="14"/>
    <tableColumn id="7" xr3:uid="{C658D7D5-546F-4F4D-93FE-337695E3040A}" name="MSW_lb" dataDxfId="13"/>
    <tableColumn id="8" xr3:uid="{30FA6CBD-FE66-1846-909D-1A6020F43694}" name="MSM_lb" dataDxfId="12"/>
    <tableColumn id="9" xr3:uid="{6C5D0A13-6413-6046-A368-F8462095C9F3}" name="Non-pregnant women_lb" dataDxfId="11"/>
    <tableColumn id="10" xr3:uid="{DAA4DBA4-9370-E747-9E09-79E702583F46}" name="Pregnant women_lb" dataDxfId="10"/>
    <tableColumn id="11" xr3:uid="{2E67822D-AFF5-224D-B310-A34AF8706FDE}" name="Women_lb" dataDxfId="9"/>
    <tableColumn id="12" xr3:uid="{AD8C0D88-70F8-0147-963D-CB52175EDB9D}" name="MSW_ub" dataDxfId="8"/>
    <tableColumn id="13" xr3:uid="{0BB8A07D-F3D1-8D43-A7C6-168A2957C5BC}" name="MSM_ub" dataDxfId="7"/>
    <tableColumn id="14" xr3:uid="{360BD720-1039-6D45-B126-959A41CBB445}" name="Non-pregnant women_ub" dataDxfId="6"/>
    <tableColumn id="15" xr3:uid="{423D3D63-5FD9-9242-9493-BC68F6D011B8}" name="Pregnant women_ub" dataDxfId="5"/>
    <tableColumn id="16" xr3:uid="{A6BF2333-A966-484E-A9F3-A6B791EB4724}" name="Women_ub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0D5DB-FDFF-7A49-A9B4-D58E063DD4FF}" name="Table13" displayName="Table13" ref="A1:P13" totalsRowShown="0" tableBorderDxfId="3">
  <tableColumns count="16">
    <tableColumn id="1" xr3:uid="{2BFDD1B2-E748-534E-9B55-6FB4CC818A79}" name="Age"/>
    <tableColumn id="2" xr3:uid="{D6DDAC88-438E-6B4E-AFD1-7751733E7684}" name="MSW"/>
    <tableColumn id="3" xr3:uid="{805C8AC8-64AF-DF48-96F8-12D071A562BF}" name="MSM" dataDxfId="2"/>
    <tableColumn id="4" xr3:uid="{B41CC56B-9023-9B44-9C10-85C42E2E2DEF}" name="Non-pregnant women"/>
    <tableColumn id="5" xr3:uid="{71553569-8846-A048-BCB5-5951BD63A868}" name="Pregnant women" dataDxfId="1"/>
    <tableColumn id="6" xr3:uid="{54E7207D-3676-E349-9BB6-2BCE154EB73F}" name="Women" dataDxfId="0"/>
    <tableColumn id="7" xr3:uid="{FA9D2D06-D654-3D4C-A19E-EE735745BBF9}" name="MSW_lb"/>
    <tableColumn id="8" xr3:uid="{99B71623-96C3-8141-9DB9-D5DC7D167B3F}" name="MSM_lb"/>
    <tableColumn id="9" xr3:uid="{5AC89615-6658-A646-8EA0-3EA090503EC5}" name="Non-pregnant women_lb"/>
    <tableColumn id="10" xr3:uid="{50D64D54-4717-254C-A8D0-FAE53A355B5E}" name="Pregnant women_lb"/>
    <tableColumn id="11" xr3:uid="{BF873390-F7FC-6643-9306-F1AF363FB4DD}" name="Women_lb"/>
    <tableColumn id="12" xr3:uid="{26046885-5868-3040-AC8C-F15FCEC41931}" name="MSW_ub"/>
    <tableColumn id="13" xr3:uid="{C6690191-014D-534B-A0EA-24708AF9FBE3}" name="MSM_ub"/>
    <tableColumn id="14" xr3:uid="{A543589D-6079-9843-856A-A699182744EE}" name="Non-pregnant women_ub"/>
    <tableColumn id="15" xr3:uid="{CF511CE8-1FAB-9743-9EC5-03B0F989FC95}" name="Pregnant women_ub"/>
    <tableColumn id="16" xr3:uid="{8731C29D-C634-5A4A-BCA7-F5D8352087D2}" name="Women_ub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51F1-BB99-3546-A032-DA3363169CE0}">
  <sheetPr>
    <tabColor theme="9"/>
  </sheetPr>
  <dimension ref="A1:P14"/>
  <sheetViews>
    <sheetView workbookViewId="0">
      <selection activeCell="A6" sqref="A6:XFD6"/>
    </sheetView>
  </sheetViews>
  <sheetFormatPr baseColWidth="10" defaultRowHeight="16" x14ac:dyDescent="0.2"/>
  <sheetData>
    <row r="1" spans="1:16" ht="65" thickBot="1" x14ac:dyDescent="0.25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t="s">
        <v>17</v>
      </c>
      <c r="G1" s="3" t="s">
        <v>25</v>
      </c>
      <c r="H1" s="3" t="s">
        <v>26</v>
      </c>
      <c r="I1" s="3" t="s">
        <v>27</v>
      </c>
      <c r="J1" s="3" t="s">
        <v>28</v>
      </c>
      <c r="K1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t="s">
        <v>34</v>
      </c>
    </row>
    <row r="2" spans="1:16" ht="17" thickBot="1" x14ac:dyDescent="0.25">
      <c r="A2" s="4" t="s">
        <v>4</v>
      </c>
      <c r="B2" s="6">
        <v>0.63016043843846603</v>
      </c>
      <c r="C2" s="6">
        <v>0.205376110455222</v>
      </c>
      <c r="D2" s="6">
        <v>0.54092812630575904</v>
      </c>
      <c r="E2" s="6">
        <v>0.54092812630575904</v>
      </c>
      <c r="F2" s="6">
        <v>0.54092812630575904</v>
      </c>
      <c r="G2" s="6">
        <v>0.112108428395126</v>
      </c>
      <c r="H2" s="6">
        <v>4.0977409519532798E-2</v>
      </c>
      <c r="I2" s="6">
        <v>0.118172880543587</v>
      </c>
      <c r="J2" s="6">
        <v>0.118172880543587</v>
      </c>
      <c r="K2" s="6">
        <v>0.118172880543587</v>
      </c>
      <c r="L2" s="6">
        <v>2.05065565110674</v>
      </c>
      <c r="M2" s="6">
        <v>0.78698694358614096</v>
      </c>
      <c r="N2" s="6">
        <v>1.3938976248226</v>
      </c>
      <c r="O2" s="6">
        <v>1.3938976248226</v>
      </c>
      <c r="P2" s="6">
        <v>1.3938976248226</v>
      </c>
    </row>
    <row r="3" spans="1:16" ht="17" thickBot="1" x14ac:dyDescent="0.25">
      <c r="A3" s="4" t="s">
        <v>5</v>
      </c>
      <c r="B3" s="6">
        <v>0.57904204376843305</v>
      </c>
      <c r="C3" s="6">
        <v>0.19123392783690399</v>
      </c>
      <c r="D3" s="6">
        <v>0.44620927112345399</v>
      </c>
      <c r="E3" s="6">
        <v>0.44620927112345399</v>
      </c>
      <c r="F3" s="6">
        <v>0.44620927112345399</v>
      </c>
      <c r="G3" s="6">
        <v>0.105325070788284</v>
      </c>
      <c r="H3" s="6">
        <v>3.9025137737311498E-2</v>
      </c>
      <c r="I3" s="6">
        <v>0.110816483740367</v>
      </c>
      <c r="J3" s="6">
        <v>0.110816483740367</v>
      </c>
      <c r="K3" s="6">
        <v>0.110816483740367</v>
      </c>
      <c r="L3" s="6">
        <v>1.85684617969057</v>
      </c>
      <c r="M3" s="6">
        <v>0.72601944780807404</v>
      </c>
      <c r="N3" s="6">
        <v>1.0934168518907801</v>
      </c>
      <c r="O3" s="6">
        <v>1.0934168518907801</v>
      </c>
      <c r="P3" s="6">
        <v>1.0934168518907801</v>
      </c>
    </row>
    <row r="4" spans="1:16" ht="17" thickBot="1" x14ac:dyDescent="0.25">
      <c r="A4" s="4" t="s">
        <v>16</v>
      </c>
      <c r="B4" s="6">
        <v>0.52831253033443903</v>
      </c>
      <c r="C4" s="6">
        <v>0.17706181743928001</v>
      </c>
      <c r="D4" s="6">
        <v>0.325633667706759</v>
      </c>
      <c r="E4" s="6">
        <v>0.325633667706759</v>
      </c>
      <c r="F4" s="6">
        <v>0.325633667706759</v>
      </c>
      <c r="G4" s="6">
        <v>9.8359861911548302E-2</v>
      </c>
      <c r="H4" s="6">
        <v>3.7233163353425899E-2</v>
      </c>
      <c r="I4" s="6">
        <v>9.8212576943888102E-2</v>
      </c>
      <c r="J4" s="6">
        <v>9.8212576943888102E-2</v>
      </c>
      <c r="K4" s="6">
        <v>9.8212576943888102E-2</v>
      </c>
      <c r="L4" s="6">
        <v>1.6675215258217999</v>
      </c>
      <c r="M4" s="6">
        <v>0.66739826792176304</v>
      </c>
      <c r="N4" s="6">
        <v>0.74904726901561802</v>
      </c>
      <c r="O4" s="6">
        <v>0.74904726901561802</v>
      </c>
      <c r="P4" s="6">
        <v>0.74904726901561802</v>
      </c>
    </row>
    <row r="5" spans="1:16" ht="17" thickBot="1" x14ac:dyDescent="0.25">
      <c r="A5" s="4" t="s">
        <v>6</v>
      </c>
      <c r="B5" s="6">
        <v>0.47898833963215398</v>
      </c>
      <c r="C5" s="6">
        <v>0.16316258186643101</v>
      </c>
      <c r="D5" s="6">
        <v>0.23881894286494801</v>
      </c>
      <c r="E5" s="6">
        <v>0.23881894286494801</v>
      </c>
      <c r="F5" s="6">
        <v>0.23881894286494801</v>
      </c>
      <c r="G5" s="6">
        <v>9.1825064066489603E-2</v>
      </c>
      <c r="H5" s="6">
        <v>3.5353659090944602E-2</v>
      </c>
      <c r="I5" s="6">
        <v>8.0417356897566905E-2</v>
      </c>
      <c r="J5" s="6">
        <v>8.0417356897566905E-2</v>
      </c>
      <c r="K5" s="6">
        <v>8.0417356897566905E-2</v>
      </c>
      <c r="L5" s="6">
        <v>1.49322388005966</v>
      </c>
      <c r="M5" s="6">
        <v>0.60825074836847903</v>
      </c>
      <c r="N5" s="6">
        <v>0.55804868426396004</v>
      </c>
      <c r="O5" s="6">
        <v>0.55804868426396004</v>
      </c>
      <c r="P5" s="6">
        <v>0.55804868426396004</v>
      </c>
    </row>
    <row r="6" spans="1:16" s="10" customFormat="1" ht="17" thickBot="1" x14ac:dyDescent="0.25">
      <c r="A6" s="9" t="s">
        <v>7</v>
      </c>
      <c r="B6" s="11">
        <v>0.43193023610308201</v>
      </c>
      <c r="C6" s="11">
        <v>0.14981902182593901</v>
      </c>
      <c r="D6" s="11">
        <v>0.211780515791756</v>
      </c>
      <c r="E6" s="11">
        <v>0.211780515791756</v>
      </c>
      <c r="F6" s="11">
        <v>0.211780515791756</v>
      </c>
      <c r="G6" s="11">
        <v>8.5709743323787002E-2</v>
      </c>
      <c r="H6" s="11">
        <v>3.3541806777330402E-2</v>
      </c>
      <c r="I6" s="11">
        <v>7.4104090499042596E-2</v>
      </c>
      <c r="J6" s="11">
        <v>7.4104090499042596E-2</v>
      </c>
      <c r="K6" s="11">
        <v>7.4104090499042596E-2</v>
      </c>
      <c r="L6" s="11">
        <v>1.318098496812</v>
      </c>
      <c r="M6" s="11">
        <v>0.55252320768153895</v>
      </c>
      <c r="N6" s="11">
        <v>0.49259046364966502</v>
      </c>
      <c r="O6" s="11">
        <v>0.49259046364966502</v>
      </c>
      <c r="P6" s="11">
        <v>0.49259046364966502</v>
      </c>
    </row>
    <row r="7" spans="1:16" ht="17" thickBot="1" x14ac:dyDescent="0.25">
      <c r="A7" s="4" t="s">
        <v>8</v>
      </c>
      <c r="B7" s="6">
        <v>0.38665706009260797</v>
      </c>
      <c r="C7" s="6">
        <v>0.13689663477328901</v>
      </c>
      <c r="D7" s="6">
        <v>0.19197449696301</v>
      </c>
      <c r="E7" s="6">
        <v>0.19197449696301</v>
      </c>
      <c r="F7" s="6">
        <v>0.19197449696301</v>
      </c>
      <c r="G7" s="6">
        <v>7.9126129823959002E-2</v>
      </c>
      <c r="H7" s="6">
        <v>3.1626796062923103E-2</v>
      </c>
      <c r="I7" s="6">
        <v>6.5309501467166006E-2</v>
      </c>
      <c r="J7" s="6">
        <v>6.5309501467166006E-2</v>
      </c>
      <c r="K7" s="6">
        <v>6.5309501467166006E-2</v>
      </c>
      <c r="L7" s="6">
        <v>1.1468680394920601</v>
      </c>
      <c r="M7" s="6">
        <v>0.49513469220529099</v>
      </c>
      <c r="N7" s="6">
        <v>0.46174453941563298</v>
      </c>
      <c r="O7" s="6">
        <v>0.46174453941563298</v>
      </c>
      <c r="P7" s="6">
        <v>0.46174453941563298</v>
      </c>
    </row>
    <row r="8" spans="1:16" ht="17" thickBot="1" x14ac:dyDescent="0.25">
      <c r="A8" s="4" t="s">
        <v>9</v>
      </c>
      <c r="B8" s="6">
        <v>0.34247505130775002</v>
      </c>
      <c r="C8" s="6">
        <v>0.124146713201001</v>
      </c>
      <c r="D8" s="6">
        <v>0.216606302950476</v>
      </c>
      <c r="E8" s="6">
        <v>0.216606302950476</v>
      </c>
      <c r="F8" s="6">
        <v>0.216606302950476</v>
      </c>
      <c r="G8" s="6">
        <v>7.3093716720180002E-2</v>
      </c>
      <c r="H8" s="6">
        <v>2.9846578491719501E-2</v>
      </c>
      <c r="I8" s="6">
        <v>6.4344730481877305E-2</v>
      </c>
      <c r="J8" s="6">
        <v>6.4344730481877305E-2</v>
      </c>
      <c r="K8" s="6">
        <v>6.4344730481877305E-2</v>
      </c>
      <c r="L8" s="6">
        <v>0.98293589808056603</v>
      </c>
      <c r="M8" s="6">
        <v>0.43700321115545898</v>
      </c>
      <c r="N8" s="6">
        <v>0.56424622058187301</v>
      </c>
      <c r="O8" s="6">
        <v>0.56424622058187301</v>
      </c>
      <c r="P8" s="6">
        <v>0.56424622058187301</v>
      </c>
    </row>
    <row r="9" spans="1:16" ht="17" thickBot="1" x14ac:dyDescent="0.25">
      <c r="A9" s="4" t="s">
        <v>10</v>
      </c>
      <c r="B9" s="6">
        <v>0.299371028870763</v>
      </c>
      <c r="C9" s="6">
        <v>0.11151745335153</v>
      </c>
      <c r="D9" s="6">
        <v>0.254877675928182</v>
      </c>
      <c r="E9" s="6">
        <v>0.254877675928182</v>
      </c>
      <c r="F9" s="6">
        <v>0.254877675928182</v>
      </c>
      <c r="G9" s="6">
        <v>6.6757108947328295E-2</v>
      </c>
      <c r="H9" s="6">
        <v>2.82230271576333E-2</v>
      </c>
      <c r="I9" s="6">
        <v>6.6322468064129794E-2</v>
      </c>
      <c r="J9" s="6">
        <v>6.6322468064129794E-2</v>
      </c>
      <c r="K9" s="6">
        <v>6.6322468064129794E-2</v>
      </c>
      <c r="L9" s="6">
        <v>0.83181594428254702</v>
      </c>
      <c r="M9" s="6">
        <v>0.38202016681082102</v>
      </c>
      <c r="N9" s="6">
        <v>0.66361873879935596</v>
      </c>
      <c r="O9" s="6">
        <v>0.66361873879935596</v>
      </c>
      <c r="P9" s="6">
        <v>0.66361873879935596</v>
      </c>
    </row>
    <row r="10" spans="1:16" ht="17" thickBot="1" x14ac:dyDescent="0.25">
      <c r="A10" s="4" t="s">
        <v>11</v>
      </c>
      <c r="B10" s="6">
        <v>0.25753065717145701</v>
      </c>
      <c r="C10" s="6">
        <v>9.9023291355982507E-2</v>
      </c>
      <c r="D10" s="6">
        <v>0.25384414452840698</v>
      </c>
      <c r="E10" s="6">
        <v>0.25384414452840698</v>
      </c>
      <c r="F10" s="6">
        <v>0.25384414452840698</v>
      </c>
      <c r="G10" s="6">
        <v>6.0608387515096902E-2</v>
      </c>
      <c r="H10" s="6">
        <v>2.6381520983721901E-2</v>
      </c>
      <c r="I10" s="6">
        <v>6.1554534205486899E-2</v>
      </c>
      <c r="J10" s="6">
        <v>6.1554534205486899E-2</v>
      </c>
      <c r="K10" s="6">
        <v>6.1554534205486899E-2</v>
      </c>
      <c r="L10" s="6">
        <v>0.689763826708512</v>
      </c>
      <c r="M10" s="6">
        <v>0.32775731877876202</v>
      </c>
      <c r="N10" s="6">
        <v>0.677414519496784</v>
      </c>
      <c r="O10" s="6">
        <v>0.677414519496784</v>
      </c>
      <c r="P10" s="6">
        <v>0.677414519496784</v>
      </c>
    </row>
    <row r="11" spans="1:16" ht="17" thickBot="1" x14ac:dyDescent="0.25">
      <c r="A11" s="4" t="s">
        <v>12</v>
      </c>
      <c r="B11" s="6">
        <v>0.194653985158983</v>
      </c>
      <c r="C11" s="6">
        <v>7.97449947901408E-2</v>
      </c>
      <c r="D11" s="6">
        <v>0.21727066757691099</v>
      </c>
      <c r="E11" s="6">
        <v>0.21727066757691099</v>
      </c>
      <c r="F11" s="6">
        <v>0.21727066757691099</v>
      </c>
      <c r="G11" s="6">
        <v>5.0773147596791801E-2</v>
      </c>
      <c r="H11" s="6">
        <v>2.3578134874987999E-2</v>
      </c>
      <c r="I11" s="6">
        <v>5.4592838024680602E-2</v>
      </c>
      <c r="J11" s="6">
        <v>5.4592838024680602E-2</v>
      </c>
      <c r="K11" s="6">
        <v>5.4592838024680602E-2</v>
      </c>
      <c r="L11" s="6">
        <v>0.48573327368818098</v>
      </c>
      <c r="M11" s="6">
        <v>0.246738773518279</v>
      </c>
      <c r="N11" s="6">
        <v>0.55191573507630798</v>
      </c>
      <c r="O11" s="6">
        <v>0.55191573507630798</v>
      </c>
      <c r="P11" s="6">
        <v>0.55191573507630798</v>
      </c>
    </row>
    <row r="12" spans="1:16" ht="17" thickBot="1" x14ac:dyDescent="0.25">
      <c r="A12" s="4" t="s">
        <v>13</v>
      </c>
      <c r="B12" s="6">
        <v>0.126666806655202</v>
      </c>
      <c r="C12" s="6">
        <v>5.7429239080811899E-2</v>
      </c>
      <c r="D12" s="6">
        <v>0.142535730003267</v>
      </c>
      <c r="E12" s="6">
        <v>0.142535730003267</v>
      </c>
      <c r="F12" s="6">
        <v>0.142535730003267</v>
      </c>
      <c r="G12" s="6">
        <v>3.9351829905847499E-2</v>
      </c>
      <c r="H12" s="6">
        <v>1.95450646461999E-2</v>
      </c>
      <c r="I12" s="6">
        <v>4.2559853096020797E-2</v>
      </c>
      <c r="J12" s="6">
        <v>4.2559853096020797E-2</v>
      </c>
      <c r="K12" s="6">
        <v>4.2559853096020797E-2</v>
      </c>
      <c r="L12" s="6">
        <v>0.28392100910525703</v>
      </c>
      <c r="M12" s="6">
        <v>0.15791120152225499</v>
      </c>
      <c r="N12" s="6">
        <v>0.32720288927050001</v>
      </c>
      <c r="O12" s="6">
        <v>0.32720288927050001</v>
      </c>
      <c r="P12" s="6">
        <v>0.32720288927050001</v>
      </c>
    </row>
    <row r="13" spans="1:16" ht="17" thickBot="1" x14ac:dyDescent="0.25">
      <c r="A13" s="4" t="s">
        <v>14</v>
      </c>
      <c r="B13" s="6">
        <v>4.7182191116165201E-2</v>
      </c>
      <c r="C13" s="6">
        <v>2.8749019496976801E-2</v>
      </c>
      <c r="D13" s="6">
        <v>5.1618519354409198E-2</v>
      </c>
      <c r="E13" s="6">
        <v>5.1618519354409198E-2</v>
      </c>
      <c r="F13" s="6">
        <v>5.1618519354409198E-2</v>
      </c>
      <c r="G13" s="6">
        <v>2.37861442641727E-2</v>
      </c>
      <c r="H13" s="6">
        <v>1.39386014528145E-2</v>
      </c>
      <c r="I13" s="6">
        <v>2.5232225405837999E-2</v>
      </c>
      <c r="J13" s="6">
        <v>2.5232225405837999E-2</v>
      </c>
      <c r="K13" s="6">
        <v>2.5232225405837999E-2</v>
      </c>
      <c r="L13" s="6">
        <v>8.2409110899801005E-2</v>
      </c>
      <c r="M13" s="6">
        <v>5.5831557210788002E-2</v>
      </c>
      <c r="N13" s="6">
        <v>9.2135991491628697E-2</v>
      </c>
      <c r="O13" s="6">
        <v>9.2135991491628697E-2</v>
      </c>
      <c r="P13" s="6">
        <v>9.2135991491628697E-2</v>
      </c>
    </row>
    <row r="14" spans="1:16" ht="17" thickBot="1" x14ac:dyDescent="0.25">
      <c r="C14" s="3"/>
      <c r="E14" s="3"/>
      <c r="F14" s="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3BB8-41A0-904A-A1D3-20EF8FF54C11}">
  <sheetPr>
    <tabColor theme="4"/>
  </sheetPr>
  <dimension ref="A1:G3"/>
  <sheetViews>
    <sheetView tabSelected="1" workbookViewId="0">
      <selection activeCell="T37" sqref="T37"/>
    </sheetView>
  </sheetViews>
  <sheetFormatPr baseColWidth="10" defaultRowHeight="16" x14ac:dyDescent="0.2"/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23</v>
      </c>
      <c r="B2">
        <v>6.587018540449846E-2</v>
      </c>
      <c r="C2">
        <f>2011.127449 *B2</f>
        <v>132.47333793770602</v>
      </c>
      <c r="D2">
        <v>3.7268778616378097E-2</v>
      </c>
      <c r="E2">
        <f>2011.127449 *D2</f>
        <v>74.95226366610224</v>
      </c>
      <c r="F2">
        <v>0.15884159908628748</v>
      </c>
      <c r="G2">
        <f>2011.127449 *F2</f>
        <v>319.45069996548608</v>
      </c>
    </row>
    <row r="3" spans="1:7" x14ac:dyDescent="0.2">
      <c r="A3" t="s">
        <v>24</v>
      </c>
      <c r="B3">
        <v>4.2</v>
      </c>
      <c r="C3">
        <f>2011.127449 *B3</f>
        <v>8446.7352858000013</v>
      </c>
      <c r="D3">
        <v>1.0405211106651</v>
      </c>
      <c r="E3">
        <f>2011.127449 *D3</f>
        <v>2092.6205669225492</v>
      </c>
      <c r="F3">
        <v>9.7513319019487206</v>
      </c>
      <c r="G3">
        <f>2011.127449 *F3</f>
        <v>19611.171252318451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B365-A50D-FE40-AFCC-416057564188}">
  <sheetPr>
    <tabColor theme="9"/>
  </sheetPr>
  <dimension ref="A1:G6"/>
  <sheetViews>
    <sheetView workbookViewId="0">
      <selection activeCell="C5" sqref="C5"/>
    </sheetView>
  </sheetViews>
  <sheetFormatPr baseColWidth="10" defaultRowHeight="16" x14ac:dyDescent="0.2"/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0</v>
      </c>
      <c r="B2" s="6">
        <v>0.334599612675545</v>
      </c>
      <c r="C2" s="6">
        <f>129673.4*0.22*B2</f>
        <v>9545.5072711506236</v>
      </c>
      <c r="D2" s="6">
        <v>7.15901897880767E-2</v>
      </c>
      <c r="E2" s="6">
        <f>129673.4*0.22*D2</f>
        <v>2042.3355296223406</v>
      </c>
      <c r="F2" s="6">
        <v>0.966628781808065</v>
      </c>
      <c r="G2" s="6">
        <f>129673.4*0.22*F2</f>
        <v>27576.128948480182</v>
      </c>
    </row>
    <row r="3" spans="1:7" x14ac:dyDescent="0.2">
      <c r="A3" t="s">
        <v>1</v>
      </c>
      <c r="B3" s="6">
        <v>0.12137174878746999</v>
      </c>
      <c r="C3" s="6">
        <f>129673.4*0.78*B3</f>
        <v>12276.176116789346</v>
      </c>
      <c r="D3" s="6">
        <v>2.9463688312652201E-2</v>
      </c>
      <c r="E3" s="6">
        <f>129673.4*0.78*D3</f>
        <v>2980.1121792326617</v>
      </c>
      <c r="F3" s="6">
        <v>0.425755159846267</v>
      </c>
      <c r="G3" s="6">
        <f>129673.4*0.78*F3</f>
        <v>43063.112932950957</v>
      </c>
    </row>
    <row r="4" spans="1:7" x14ac:dyDescent="0.2">
      <c r="A4" t="s">
        <v>19</v>
      </c>
      <c r="B4" s="6">
        <v>0.16828187884284701</v>
      </c>
      <c r="C4" s="6">
        <f>129673.4*B4</f>
        <v>21821.683387940036</v>
      </c>
      <c r="D4" s="6">
        <v>5.1485072055963997E-2</v>
      </c>
      <c r="E4" s="6">
        <f>129673.4*D4</f>
        <v>6676.2443427418411</v>
      </c>
      <c r="F4" s="6">
        <v>0.44313945421158901</v>
      </c>
      <c r="G4" s="6">
        <f>129673.4*F4</f>
        <v>57463.399701761067</v>
      </c>
    </row>
    <row r="5" spans="1:7" x14ac:dyDescent="0.2">
      <c r="A5" t="s">
        <v>17</v>
      </c>
      <c r="B5" s="6">
        <v>0.21939046868075501</v>
      </c>
      <c r="C5" s="6">
        <f>26081.7*B5</f>
        <v>5722.0763869908478</v>
      </c>
      <c r="D5" s="6">
        <v>6.78452607417942E-2</v>
      </c>
      <c r="E5" s="6">
        <f>26081.7*D5</f>
        <v>1769.5197370892538</v>
      </c>
      <c r="F5" s="6">
        <v>0.54176410821500898</v>
      </c>
      <c r="G5" s="6">
        <f>26081.7*F5</f>
        <v>14130.1289412314</v>
      </c>
    </row>
    <row r="6" spans="1:7" x14ac:dyDescent="0.2">
      <c r="A6" t="s">
        <v>18</v>
      </c>
      <c r="B6" s="6">
        <v>0.178548225308063</v>
      </c>
      <c r="C6" s="6">
        <f>SUM(C4:C5)</f>
        <v>27543.759774930884</v>
      </c>
      <c r="D6" s="6">
        <v>5.8341437318519103E-2</v>
      </c>
      <c r="E6" s="6">
        <f>SUM(E4:E5)</f>
        <v>8445.7640798310949</v>
      </c>
      <c r="F6" s="6">
        <v>0.43114539875559399</v>
      </c>
      <c r="G6" s="6">
        <f>SUM(G4:G5)</f>
        <v>71593.52864299246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CD6-937E-7247-87D9-F772BA914B33}">
  <sheetPr>
    <tabColor theme="9"/>
  </sheetPr>
  <dimension ref="A1:G5"/>
  <sheetViews>
    <sheetView workbookViewId="0">
      <selection activeCell="B2" sqref="B2"/>
    </sheetView>
  </sheetViews>
  <sheetFormatPr baseColWidth="10" defaultRowHeight="16" x14ac:dyDescent="0.2"/>
  <cols>
    <col min="2" max="2" width="11" bestFit="1" customWidth="1"/>
    <col min="3" max="3" width="12.6640625" bestFit="1" customWidth="1"/>
    <col min="4" max="4" width="11.6640625" bestFit="1" customWidth="1"/>
    <col min="5" max="5" width="12.6640625" bestFit="1" customWidth="1"/>
    <col min="6" max="6" width="11" bestFit="1" customWidth="1"/>
    <col min="7" max="7" width="12.6640625" bestFit="1" customWidth="1"/>
  </cols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23</v>
      </c>
      <c r="B2" s="6">
        <v>6.46581790236056E-2</v>
      </c>
      <c r="C2" s="6">
        <f>1306 *B2</f>
        <v>84.443581804828909</v>
      </c>
      <c r="D2" s="6">
        <v>1.3834638439039501E-2</v>
      </c>
      <c r="E2" s="6">
        <f>1306 *D2</f>
        <v>18.068037801385589</v>
      </c>
      <c r="F2" s="6">
        <v>0.14538168108045799</v>
      </c>
      <c r="G2" s="6">
        <f>1306 *F2</f>
        <v>189.86847549107813</v>
      </c>
    </row>
    <row r="3" spans="1:7" x14ac:dyDescent="0.2">
      <c r="A3" t="s">
        <v>24</v>
      </c>
      <c r="B3" s="6">
        <v>4.2845852885721403</v>
      </c>
      <c r="C3" s="6">
        <f>1306 *B3</f>
        <v>5595.6683868752152</v>
      </c>
      <c r="D3" s="6">
        <v>3.42274868807251</v>
      </c>
      <c r="E3" s="6">
        <f>1306 *D3</f>
        <v>4470.1097866226983</v>
      </c>
      <c r="F3" s="6">
        <v>5.2092934375743898</v>
      </c>
      <c r="G3" s="6">
        <f>1306*F3</f>
        <v>6803.337229472153</v>
      </c>
    </row>
    <row r="4" spans="1:7" x14ac:dyDescent="0.2">
      <c r="B4" s="7"/>
    </row>
    <row r="5" spans="1:7" x14ac:dyDescent="0.2">
      <c r="B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69F6-3CAA-EE46-83F0-60652F2BDD17}">
  <sheetPr>
    <tabColor theme="5"/>
  </sheetPr>
  <dimension ref="A1:P13"/>
  <sheetViews>
    <sheetView workbookViewId="0">
      <selection activeCell="A6" sqref="A6:XFD6"/>
    </sheetView>
  </sheetViews>
  <sheetFormatPr baseColWidth="10" defaultRowHeight="16" x14ac:dyDescent="0.2"/>
  <sheetData>
    <row r="1" spans="1:16" ht="65" thickBot="1" x14ac:dyDescent="0.25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t="s">
        <v>17</v>
      </c>
      <c r="G1" s="3" t="s">
        <v>25</v>
      </c>
      <c r="H1" s="3" t="s">
        <v>26</v>
      </c>
      <c r="I1" s="3" t="s">
        <v>27</v>
      </c>
      <c r="J1" s="3" t="s">
        <v>28</v>
      </c>
      <c r="K1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t="s">
        <v>34</v>
      </c>
    </row>
    <row r="2" spans="1:16" ht="17" thickBot="1" x14ac:dyDescent="0.25">
      <c r="A2" s="4" t="s">
        <v>4</v>
      </c>
      <c r="B2" s="6">
        <v>0.19831211599840501</v>
      </c>
      <c r="C2" s="6">
        <v>7.7214710910553097E-2</v>
      </c>
      <c r="D2" s="6">
        <v>0.178646302358309</v>
      </c>
      <c r="E2" s="6">
        <v>0.178646302358309</v>
      </c>
      <c r="F2" s="6">
        <v>0.178646302358309</v>
      </c>
      <c r="G2" s="6">
        <v>4.8402427805609799E-2</v>
      </c>
      <c r="H2" s="6">
        <v>2.25878051654687E-2</v>
      </c>
      <c r="I2" s="6">
        <v>4.9076039054970801E-2</v>
      </c>
      <c r="J2" s="6">
        <v>4.9076039054970801E-2</v>
      </c>
      <c r="K2" s="6">
        <v>4.9076039054970801E-2</v>
      </c>
      <c r="L2" s="6">
        <v>0.55046141402740101</v>
      </c>
      <c r="M2" s="6">
        <v>0.247596466469551</v>
      </c>
      <c r="N2" s="6">
        <v>0.42520302322569498</v>
      </c>
      <c r="O2" s="6">
        <v>0.42520302322569498</v>
      </c>
      <c r="P2" s="6">
        <v>0.42520302322569498</v>
      </c>
    </row>
    <row r="3" spans="1:16" ht="17" thickBot="1" x14ac:dyDescent="0.25">
      <c r="A3" s="4" t="s">
        <v>5</v>
      </c>
      <c r="B3" s="6">
        <v>0.19292216563307801</v>
      </c>
      <c r="C3" s="6">
        <v>7.5680506007227005E-2</v>
      </c>
      <c r="D3" s="6">
        <v>0.15942401763306899</v>
      </c>
      <c r="E3" s="6">
        <v>0.15942401763306899</v>
      </c>
      <c r="F3" s="6">
        <v>0.15942401763306899</v>
      </c>
      <c r="G3" s="6">
        <v>4.76867364811124E-2</v>
      </c>
      <c r="H3" s="6">
        <v>2.23581284840773E-2</v>
      </c>
      <c r="I3" s="6">
        <v>4.8344738294958702E-2</v>
      </c>
      <c r="J3" s="6">
        <v>4.8344738294958702E-2</v>
      </c>
      <c r="K3" s="6">
        <v>4.8344738294958702E-2</v>
      </c>
      <c r="L3" s="6">
        <v>0.52873680373333998</v>
      </c>
      <c r="M3" s="6">
        <v>0.240560119897891</v>
      </c>
      <c r="N3" s="6">
        <v>0.36539442903428598</v>
      </c>
      <c r="O3" s="6">
        <v>0.36539442903428598</v>
      </c>
      <c r="P3" s="6">
        <v>0.36539442903428598</v>
      </c>
    </row>
    <row r="4" spans="1:16" ht="17" thickBot="1" x14ac:dyDescent="0.25">
      <c r="A4" s="4" t="s">
        <v>16</v>
      </c>
      <c r="B4" s="6">
        <v>0.18660198856865901</v>
      </c>
      <c r="C4" s="6">
        <v>7.3847819090683497E-2</v>
      </c>
      <c r="D4" s="6">
        <v>0.127059943006744</v>
      </c>
      <c r="E4" s="6">
        <v>0.127059943006744</v>
      </c>
      <c r="F4" s="6">
        <v>0.127059943006744</v>
      </c>
      <c r="G4" s="6">
        <v>4.6837783581234103E-2</v>
      </c>
      <c r="H4" s="6">
        <v>2.2080307428638701E-2</v>
      </c>
      <c r="I4" s="6">
        <v>4.65311003915303E-2</v>
      </c>
      <c r="J4" s="6">
        <v>4.65311003915303E-2</v>
      </c>
      <c r="K4" s="6">
        <v>4.65311003915303E-2</v>
      </c>
      <c r="L4" s="6">
        <v>0.50581386528398098</v>
      </c>
      <c r="M4" s="6">
        <v>0.232771563177531</v>
      </c>
      <c r="N4" s="6">
        <v>0.270832069688143</v>
      </c>
      <c r="O4" s="6">
        <v>0.270832069688143</v>
      </c>
      <c r="P4" s="6">
        <v>0.270832069688143</v>
      </c>
    </row>
    <row r="5" spans="1:16" ht="17" thickBot="1" x14ac:dyDescent="0.25">
      <c r="A5" s="4" t="s">
        <v>6</v>
      </c>
      <c r="B5" s="6">
        <v>0.179591679311491</v>
      </c>
      <c r="C5" s="6">
        <v>7.1794357103427298E-2</v>
      </c>
      <c r="D5" s="6">
        <v>0.100436651054067</v>
      </c>
      <c r="E5" s="6">
        <v>0.100436651054067</v>
      </c>
      <c r="F5" s="6">
        <v>0.100436651054067</v>
      </c>
      <c r="G5" s="6">
        <v>4.5875524050422403E-2</v>
      </c>
      <c r="H5" s="6">
        <v>2.1770986788735298E-2</v>
      </c>
      <c r="I5" s="6">
        <v>4.0384744510982798E-2</v>
      </c>
      <c r="J5" s="6">
        <v>4.0384744510982798E-2</v>
      </c>
      <c r="K5" s="6">
        <v>4.0384744510982798E-2</v>
      </c>
      <c r="L5" s="6">
        <v>0.47871179948907799</v>
      </c>
      <c r="M5" s="6">
        <v>0.22394009241139201</v>
      </c>
      <c r="N5" s="6">
        <v>0.21535663653378301</v>
      </c>
      <c r="O5" s="6">
        <v>0.21535663653378301</v>
      </c>
      <c r="P5" s="6">
        <v>0.21535663653378301</v>
      </c>
    </row>
    <row r="6" spans="1:16" s="10" customFormat="1" ht="17" thickBot="1" x14ac:dyDescent="0.25">
      <c r="A6" s="9" t="s">
        <v>7</v>
      </c>
      <c r="B6" s="11">
        <v>0.172172094695735</v>
      </c>
      <c r="C6" s="11">
        <v>6.9624721295233893E-2</v>
      </c>
      <c r="D6" s="11">
        <v>9.4247713613213699E-2</v>
      </c>
      <c r="E6" s="11">
        <v>9.4247713613213699E-2</v>
      </c>
      <c r="F6" s="11">
        <v>9.4247713613213699E-2</v>
      </c>
      <c r="G6" s="11">
        <v>4.4860071867158902E-2</v>
      </c>
      <c r="H6" s="11">
        <v>2.1445072032022901E-2</v>
      </c>
      <c r="I6" s="11">
        <v>3.9211009641124998E-2</v>
      </c>
      <c r="J6" s="11">
        <v>3.9211009641124998E-2</v>
      </c>
      <c r="K6" s="11">
        <v>3.9211009641124998E-2</v>
      </c>
      <c r="L6" s="11">
        <v>0.45181517687408002</v>
      </c>
      <c r="M6" s="11">
        <v>0.214172312443315</v>
      </c>
      <c r="N6" s="11">
        <v>0.19914863930709001</v>
      </c>
      <c r="O6" s="11">
        <v>0.19914863930709001</v>
      </c>
      <c r="P6" s="11">
        <v>0.19914863930709001</v>
      </c>
    </row>
    <row r="7" spans="1:16" ht="17" thickBot="1" x14ac:dyDescent="0.25">
      <c r="A7" s="4" t="s">
        <v>8</v>
      </c>
      <c r="B7" s="6">
        <v>0.164132642962351</v>
      </c>
      <c r="C7" s="6">
        <v>6.7279378904534601E-2</v>
      </c>
      <c r="D7" s="6">
        <v>8.9166427727194894E-2</v>
      </c>
      <c r="E7" s="6">
        <v>8.9166427727194894E-2</v>
      </c>
      <c r="F7" s="6">
        <v>8.9166427727194894E-2</v>
      </c>
      <c r="G7" s="6">
        <v>4.3805934741019903E-2</v>
      </c>
      <c r="H7" s="6">
        <v>2.1103629217857502E-2</v>
      </c>
      <c r="I7" s="6">
        <v>3.71809415766838E-2</v>
      </c>
      <c r="J7" s="6">
        <v>3.71809415766838E-2</v>
      </c>
      <c r="K7" s="6">
        <v>3.71809415766838E-2</v>
      </c>
      <c r="L7" s="6">
        <v>0.42315358533283598</v>
      </c>
      <c r="M7" s="6">
        <v>0.20418433075481099</v>
      </c>
      <c r="N7" s="6">
        <v>0.193758241600923</v>
      </c>
      <c r="O7" s="6">
        <v>0.193758241600923</v>
      </c>
      <c r="P7" s="6">
        <v>0.193758241600923</v>
      </c>
    </row>
    <row r="8" spans="1:16" ht="17" thickBot="1" x14ac:dyDescent="0.25">
      <c r="A8" s="4" t="s">
        <v>9</v>
      </c>
      <c r="B8" s="6">
        <v>0.15510241936799901</v>
      </c>
      <c r="C8" s="6">
        <v>6.4621562015626605E-2</v>
      </c>
      <c r="D8" s="6">
        <v>0.101762542559008</v>
      </c>
      <c r="E8" s="6">
        <v>0.101762542559008</v>
      </c>
      <c r="F8" s="6">
        <v>0.101762542559008</v>
      </c>
      <c r="G8" s="6">
        <v>4.2530928692400098E-2</v>
      </c>
      <c r="H8" s="6">
        <v>2.065302166217E-2</v>
      </c>
      <c r="I8" s="6">
        <v>3.7291325251280899E-2</v>
      </c>
      <c r="J8" s="6">
        <v>3.7291325251280899E-2</v>
      </c>
      <c r="K8" s="6">
        <v>3.7291325251280899E-2</v>
      </c>
      <c r="L8" s="6">
        <v>0.391717165927085</v>
      </c>
      <c r="M8" s="6">
        <v>0.19310842567942699</v>
      </c>
      <c r="N8" s="6">
        <v>0.23852708763184399</v>
      </c>
      <c r="O8" s="6">
        <v>0.23852708763184399</v>
      </c>
      <c r="P8" s="6">
        <v>0.23852708763184399</v>
      </c>
    </row>
    <row r="9" spans="1:16" ht="17" thickBot="1" x14ac:dyDescent="0.25">
      <c r="A9" s="4" t="s">
        <v>10</v>
      </c>
      <c r="B9" s="6">
        <v>0.14490939890244001</v>
      </c>
      <c r="C9" s="6">
        <v>6.1571718444823301E-2</v>
      </c>
      <c r="D9" s="6">
        <v>0.122977172755895</v>
      </c>
      <c r="E9" s="6">
        <v>0.122977172755895</v>
      </c>
      <c r="F9" s="6">
        <v>0.122977172755895</v>
      </c>
      <c r="G9" s="6">
        <v>4.1095926776876998E-2</v>
      </c>
      <c r="H9" s="6">
        <v>2.0071414685574499E-2</v>
      </c>
      <c r="I9" s="6">
        <v>3.9888707858212101E-2</v>
      </c>
      <c r="J9" s="6">
        <v>3.9888707858212101E-2</v>
      </c>
      <c r="K9" s="6">
        <v>3.9888707858212101E-2</v>
      </c>
      <c r="L9" s="6">
        <v>0.35591366409373398</v>
      </c>
      <c r="M9" s="6">
        <v>0.18023786295345301</v>
      </c>
      <c r="N9" s="6">
        <v>0.28991148117741999</v>
      </c>
      <c r="O9" s="6">
        <v>0.28991148117741999</v>
      </c>
      <c r="P9" s="6">
        <v>0.28991148117741999</v>
      </c>
    </row>
    <row r="10" spans="1:16" ht="17" thickBot="1" x14ac:dyDescent="0.25">
      <c r="A10" s="4" t="s">
        <v>11</v>
      </c>
      <c r="B10" s="6">
        <v>0.133452905790933</v>
      </c>
      <c r="C10" s="6">
        <v>5.8068527991547103E-2</v>
      </c>
      <c r="D10" s="6">
        <v>0.12827284749183501</v>
      </c>
      <c r="E10" s="6">
        <v>0.12827284749183501</v>
      </c>
      <c r="F10" s="6">
        <v>0.12827284749183501</v>
      </c>
      <c r="G10" s="6">
        <v>3.9297978132320797E-2</v>
      </c>
      <c r="H10" s="6">
        <v>1.94494880417929E-2</v>
      </c>
      <c r="I10" s="6">
        <v>3.8861809140380399E-2</v>
      </c>
      <c r="J10" s="6">
        <v>3.8861809140380399E-2</v>
      </c>
      <c r="K10" s="6">
        <v>3.8861809140380399E-2</v>
      </c>
      <c r="L10" s="6">
        <v>0.320075358195131</v>
      </c>
      <c r="M10" s="6">
        <v>0.16538036128428801</v>
      </c>
      <c r="N10" s="6">
        <v>0.30698795887777502</v>
      </c>
      <c r="O10" s="6">
        <v>0.30698795887777502</v>
      </c>
      <c r="P10" s="6">
        <v>0.30698795887777502</v>
      </c>
    </row>
    <row r="11" spans="1:16" ht="17" thickBot="1" x14ac:dyDescent="0.25">
      <c r="A11" s="4" t="s">
        <v>12</v>
      </c>
      <c r="B11" s="6">
        <v>0.112881153598242</v>
      </c>
      <c r="C11" s="6">
        <v>5.1608986902086297E-2</v>
      </c>
      <c r="D11" s="6">
        <v>0.122129490945424</v>
      </c>
      <c r="E11" s="6">
        <v>0.122129490945424</v>
      </c>
      <c r="F11" s="6">
        <v>0.122129490945424</v>
      </c>
      <c r="G11" s="6">
        <v>3.6165385092418699E-2</v>
      </c>
      <c r="H11" s="6">
        <v>1.8368533309617598E-2</v>
      </c>
      <c r="I11" s="6">
        <v>3.7684803778128197E-2</v>
      </c>
      <c r="J11" s="6">
        <v>3.7684803778128197E-2</v>
      </c>
      <c r="K11" s="6">
        <v>3.7684803778128197E-2</v>
      </c>
      <c r="L11" s="6">
        <v>0.255721209936009</v>
      </c>
      <c r="M11" s="6">
        <v>0.13946582947775499</v>
      </c>
      <c r="N11" s="6">
        <v>0.28315310045442998</v>
      </c>
      <c r="O11" s="6">
        <v>0.28315310045442998</v>
      </c>
      <c r="P11" s="6">
        <v>0.28315310045442998</v>
      </c>
    </row>
    <row r="12" spans="1:16" ht="17" thickBot="1" x14ac:dyDescent="0.25">
      <c r="A12" s="4" t="s">
        <v>13</v>
      </c>
      <c r="B12" s="6">
        <v>8.4999097116173497E-2</v>
      </c>
      <c r="C12" s="6">
        <v>4.2145342360288503E-2</v>
      </c>
      <c r="D12" s="6">
        <v>9.3273065097557603E-2</v>
      </c>
      <c r="E12" s="6">
        <v>9.3273065097557603E-2</v>
      </c>
      <c r="F12" s="6">
        <v>9.3273065097557603E-2</v>
      </c>
      <c r="G12" s="6">
        <v>3.1654912315751398E-2</v>
      </c>
      <c r="H12" s="6">
        <v>1.6408620656012701E-2</v>
      </c>
      <c r="I12" s="6">
        <v>3.3236887422731003E-2</v>
      </c>
      <c r="J12" s="6">
        <v>3.3236887422731003E-2</v>
      </c>
      <c r="K12" s="6">
        <v>3.3236887422731003E-2</v>
      </c>
      <c r="L12" s="6">
        <v>0.17724062659627099</v>
      </c>
      <c r="M12" s="6">
        <v>0.104930586817521</v>
      </c>
      <c r="N12" s="6">
        <v>0.19887943516464601</v>
      </c>
      <c r="O12" s="6">
        <v>0.19887943516464601</v>
      </c>
      <c r="P12" s="6">
        <v>0.19887943516464601</v>
      </c>
    </row>
    <row r="13" spans="1:16" ht="17" thickBot="1" x14ac:dyDescent="0.25">
      <c r="A13" s="4" t="s">
        <v>14</v>
      </c>
      <c r="B13" s="6">
        <v>4.0466927654271602E-2</v>
      </c>
      <c r="C13" s="6">
        <v>2.5675377443338102E-2</v>
      </c>
      <c r="D13" s="6">
        <v>4.3808820537024798E-2</v>
      </c>
      <c r="E13" s="6">
        <v>4.3808820537024798E-2</v>
      </c>
      <c r="F13" s="6">
        <v>4.3808820537024798E-2</v>
      </c>
      <c r="G13" s="6">
        <v>2.1129317518601001E-2</v>
      </c>
      <c r="H13" s="6">
        <v>1.3026959941960301E-2</v>
      </c>
      <c r="I13" s="6">
        <v>2.2460681354922501E-2</v>
      </c>
      <c r="J13" s="6">
        <v>2.2460681354922501E-2</v>
      </c>
      <c r="K13" s="6">
        <v>2.2460681354922501E-2</v>
      </c>
      <c r="L13" s="6">
        <v>6.8173077398354695E-2</v>
      </c>
      <c r="M13" s="6">
        <v>4.7343120811342301E-2</v>
      </c>
      <c r="N13" s="6">
        <v>7.5234935540336695E-2</v>
      </c>
      <c r="O13" s="6">
        <v>7.5234935540336695E-2</v>
      </c>
      <c r="P13" s="6">
        <v>7.5234935540336695E-2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6A5F-C0F6-9B46-8D21-09F853FBFAE0}">
  <sheetPr>
    <tabColor theme="5"/>
  </sheetPr>
  <dimension ref="A1:G14"/>
  <sheetViews>
    <sheetView workbookViewId="0">
      <selection activeCell="C5" sqref="C5"/>
    </sheetView>
  </sheetViews>
  <sheetFormatPr baseColWidth="10" defaultRowHeight="16" x14ac:dyDescent="0.2"/>
  <cols>
    <col min="2" max="2" width="11" bestFit="1" customWidth="1"/>
    <col min="3" max="3" width="13.6640625" bestFit="1" customWidth="1"/>
    <col min="4" max="4" width="11" bestFit="1" customWidth="1"/>
    <col min="5" max="5" width="12.6640625" bestFit="1" customWidth="1"/>
    <col min="6" max="6" width="11" bestFit="1" customWidth="1"/>
    <col min="7" max="7" width="13.6640625" bestFit="1" customWidth="1"/>
  </cols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0</v>
      </c>
      <c r="B2" s="6">
        <v>0.150239151644012</v>
      </c>
      <c r="C2" s="6">
        <f>129673.4*0.22*B2</f>
        <v>4286.0447534948171</v>
      </c>
      <c r="D2" s="6">
        <v>4.17405580723922E-2</v>
      </c>
      <c r="E2" s="6">
        <f>129673.4*0.22*D2</f>
        <v>1190.7808182917993</v>
      </c>
      <c r="F2" s="6">
        <v>0.37752856672950802</v>
      </c>
      <c r="G2" s="6">
        <f>129673.4*0.22*F2</f>
        <v>10770.190825887279</v>
      </c>
    </row>
    <row r="3" spans="1:7" x14ac:dyDescent="0.2">
      <c r="A3" t="s">
        <v>1</v>
      </c>
      <c r="B3" s="6">
        <v>6.30067575199805E-2</v>
      </c>
      <c r="C3" s="6">
        <f>129673.4*0.78*B3</f>
        <v>6372.8343670613222</v>
      </c>
      <c r="D3" s="6">
        <v>2.03878037372511E-2</v>
      </c>
      <c r="E3" s="6">
        <f>129673.4*0.78*D3</f>
        <v>2062.1295467308041</v>
      </c>
      <c r="F3" s="6">
        <v>0.18666161879065701</v>
      </c>
      <c r="G3" s="6">
        <f>129673.4*0.78*F3</f>
        <v>18879.936471308938</v>
      </c>
    </row>
    <row r="4" spans="1:7" x14ac:dyDescent="0.2">
      <c r="A4" t="s">
        <v>19</v>
      </c>
      <c r="B4" s="6">
        <v>8.2197884227267495E-2</v>
      </c>
      <c r="C4" s="6">
        <f>129673.4*B4</f>
        <v>10658.879120556148</v>
      </c>
      <c r="D4" s="6">
        <v>3.1364783700188699E-2</v>
      </c>
      <c r="E4" s="6">
        <f>129673.4*D4</f>
        <v>4067.1781426680491</v>
      </c>
      <c r="F4" s="6">
        <v>0.19552020018646099</v>
      </c>
      <c r="G4" s="6">
        <f>129673.4*F4</f>
        <v>25353.769126859028</v>
      </c>
    </row>
    <row r="5" spans="1:7" x14ac:dyDescent="0.2">
      <c r="A5" t="s">
        <v>17</v>
      </c>
      <c r="B5" s="6">
        <v>0.103159121774504</v>
      </c>
      <c r="C5" s="6">
        <f>26081.7*B5</f>
        <v>2690.565266386081</v>
      </c>
      <c r="D5" s="6">
        <v>3.8501387437283902E-2</v>
      </c>
      <c r="E5" s="6">
        <f>26081.7*D5</f>
        <v>1004.1816367230076</v>
      </c>
      <c r="F5" s="6">
        <v>0.230291321298697</v>
      </c>
      <c r="G5" s="6">
        <f>26081.7*F5</f>
        <v>6006.3891547162257</v>
      </c>
    </row>
    <row r="6" spans="1:7" x14ac:dyDescent="0.2">
      <c r="A6" t="s">
        <v>18</v>
      </c>
      <c r="B6" s="6">
        <v>8.6406814326815601E-2</v>
      </c>
      <c r="C6" s="6">
        <f>SUM(C4:C5)</f>
        <v>13349.444386942228</v>
      </c>
      <c r="D6" s="6">
        <v>3.4311349992242397E-2</v>
      </c>
      <c r="E6" s="6">
        <f>SUM(E4:E5)</f>
        <v>5071.3597793910567</v>
      </c>
      <c r="F6" s="6">
        <v>0.18658380349336301</v>
      </c>
      <c r="G6" s="6">
        <f>SUM(G4:G5)</f>
        <v>31360.158281575255</v>
      </c>
    </row>
    <row r="8" spans="1:7" x14ac:dyDescent="0.2">
      <c r="C8" s="8"/>
    </row>
    <row r="9" spans="1:7" x14ac:dyDescent="0.2">
      <c r="C9" s="8"/>
    </row>
    <row r="10" spans="1:7" x14ac:dyDescent="0.2">
      <c r="C10" s="8"/>
    </row>
    <row r="11" spans="1:7" x14ac:dyDescent="0.2">
      <c r="C11" s="8"/>
    </row>
    <row r="12" spans="1:7" x14ac:dyDescent="0.2">
      <c r="C12" s="8"/>
    </row>
    <row r="13" spans="1:7" x14ac:dyDescent="0.2">
      <c r="C13" s="8"/>
    </row>
    <row r="14" spans="1:7" x14ac:dyDescent="0.2">
      <c r="C1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0CB5-B6F6-9244-87DA-9B4FC5CC519C}">
  <sheetPr>
    <tabColor theme="5"/>
  </sheetPr>
  <dimension ref="A1:G11"/>
  <sheetViews>
    <sheetView workbookViewId="0">
      <selection activeCell="B3" sqref="B3"/>
    </sheetView>
  </sheetViews>
  <sheetFormatPr baseColWidth="10" defaultRowHeight="16" x14ac:dyDescent="0.2"/>
  <cols>
    <col min="2" max="2" width="11" bestFit="1" customWidth="1"/>
    <col min="3" max="3" width="16.83203125" bestFit="1" customWidth="1"/>
    <col min="4" max="4" width="11" bestFit="1" customWidth="1"/>
    <col min="5" max="5" width="12.6640625" bestFit="1" customWidth="1"/>
    <col min="6" max="6" width="11" bestFit="1" customWidth="1"/>
    <col min="7" max="7" width="12.6640625" bestFit="1" customWidth="1"/>
  </cols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23</v>
      </c>
      <c r="B2" s="6">
        <v>6.0864934535724398E-2</v>
      </c>
      <c r="C2" s="6">
        <f>1306 *B2</f>
        <v>79.489604503656068</v>
      </c>
      <c r="D2" s="6">
        <v>1.30508759615614E-2</v>
      </c>
      <c r="E2" s="6">
        <f>1306 *D2</f>
        <v>17.044444005799189</v>
      </c>
      <c r="F2" s="6">
        <v>0.13557738652093401</v>
      </c>
      <c r="G2" s="6">
        <f>1306 *F2</f>
        <v>177.06406679633983</v>
      </c>
    </row>
    <row r="3" spans="1:7" x14ac:dyDescent="0.2">
      <c r="A3" t="s">
        <v>39</v>
      </c>
      <c r="B3" s="6">
        <v>1.7858242485723601</v>
      </c>
      <c r="C3" s="6">
        <f>1306 *B3</f>
        <v>2332.2864686355024</v>
      </c>
      <c r="D3" s="6">
        <v>1.43247410335578</v>
      </c>
      <c r="E3" s="6">
        <f>1306 *D3</f>
        <v>1870.8111789826487</v>
      </c>
      <c r="F3" s="6">
        <v>2.16278489593949</v>
      </c>
      <c r="G3" s="6">
        <f>1306 *F3</f>
        <v>2824.5970740969738</v>
      </c>
    </row>
    <row r="11" spans="1:7" x14ac:dyDescent="0.2">
      <c r="C1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5099-C281-B94B-B9E1-D8D57BBCFEBD}">
  <dimension ref="A1:R39"/>
  <sheetViews>
    <sheetView workbookViewId="0">
      <selection activeCell="U15" sqref="U15"/>
    </sheetView>
  </sheetViews>
  <sheetFormatPr baseColWidth="10" defaultRowHeight="16" x14ac:dyDescent="0.2"/>
  <cols>
    <col min="2" max="2" width="21.83203125" customWidth="1"/>
    <col min="3" max="3" width="26.6640625" customWidth="1"/>
    <col min="12" max="12" width="21.83203125" customWidth="1"/>
    <col min="13" max="13" width="26.6640625" customWidth="1"/>
  </cols>
  <sheetData>
    <row r="1" spans="1:18" x14ac:dyDescent="0.2">
      <c r="A1" t="s">
        <v>48</v>
      </c>
      <c r="K1" t="s">
        <v>46</v>
      </c>
    </row>
    <row r="2" spans="1:18" ht="85" x14ac:dyDescent="0.2">
      <c r="A2" s="13" t="s">
        <v>40</v>
      </c>
      <c r="B2" s="15" t="s">
        <v>41</v>
      </c>
      <c r="C2" s="13" t="s">
        <v>42</v>
      </c>
      <c r="D2" s="13" t="s">
        <v>43</v>
      </c>
      <c r="E2" s="13" t="s">
        <v>44</v>
      </c>
      <c r="F2" s="15" t="s">
        <v>45</v>
      </c>
      <c r="G2" s="13" t="s">
        <v>54</v>
      </c>
      <c r="H2" s="13" t="s">
        <v>55</v>
      </c>
      <c r="I2" s="13"/>
      <c r="J2" s="13"/>
      <c r="K2" s="13" t="s">
        <v>40</v>
      </c>
      <c r="L2" s="17" t="s">
        <v>41</v>
      </c>
      <c r="M2" s="13" t="s">
        <v>42</v>
      </c>
      <c r="N2" s="13" t="s">
        <v>43</v>
      </c>
      <c r="O2" s="13" t="s">
        <v>44</v>
      </c>
      <c r="P2" s="17" t="s">
        <v>45</v>
      </c>
      <c r="Q2" s="13" t="s">
        <v>50</v>
      </c>
      <c r="R2" s="13" t="s">
        <v>55</v>
      </c>
    </row>
    <row r="3" spans="1:18" ht="17" x14ac:dyDescent="0.2">
      <c r="A3" s="14" t="s">
        <v>16</v>
      </c>
      <c r="B3" s="16">
        <v>0.127059943006744</v>
      </c>
      <c r="C3" s="13">
        <v>0.04</v>
      </c>
      <c r="D3" s="8">
        <f>avg_QALY_cong_psa!$B$2</f>
        <v>6.0864934535724398E-2</v>
      </c>
      <c r="E3">
        <f>D3*1306/26081.7</f>
        <v>3.0477156206710479E-3</v>
      </c>
      <c r="F3" s="16">
        <f>B3*(1-C3/100) + (B3+E3)*C3/100</f>
        <v>0.12706116209299229</v>
      </c>
      <c r="G3">
        <v>0.22</v>
      </c>
      <c r="H3" s="8">
        <f>G3/100</f>
        <v>2.2000000000000001E-3</v>
      </c>
      <c r="I3" s="8"/>
      <c r="J3" s="8"/>
      <c r="K3" s="14" t="s">
        <v>16</v>
      </c>
      <c r="L3" s="18">
        <v>0.325633667706759</v>
      </c>
      <c r="M3" s="13">
        <v>0.04</v>
      </c>
      <c r="N3" s="8">
        <f>'avg_QALY_cong_psa (nodisc)'!B$2</f>
        <v>6.46581790236056E-2</v>
      </c>
      <c r="O3">
        <f>N3*1306/26081.7</f>
        <v>3.2376563569410316E-3</v>
      </c>
      <c r="P3" s="18">
        <f>L3*(1-M3/100) + (L3+O3)*M3/100</f>
        <v>0.32563496276930182</v>
      </c>
      <c r="Q3">
        <v>0.22</v>
      </c>
      <c r="R3" s="8">
        <f>Q3/100</f>
        <v>2.2000000000000001E-3</v>
      </c>
    </row>
    <row r="4" spans="1:18" ht="17" x14ac:dyDescent="0.2">
      <c r="A4" s="13" t="s">
        <v>6</v>
      </c>
      <c r="B4" s="16">
        <v>0.100436651054067</v>
      </c>
      <c r="C4" s="13">
        <v>11.03</v>
      </c>
      <c r="D4" s="8">
        <f>avg_QALY_cong_psa!$B$2</f>
        <v>6.0864934535724398E-2</v>
      </c>
      <c r="E4">
        <f t="shared" ref="E4:E12" si="0">D4*1306/26081.7</f>
        <v>3.0477156206710479E-3</v>
      </c>
      <c r="F4" s="16">
        <f t="shared" ref="F4:F12" si="1">B4*(1-C4/100) + (B4+E4)*C4/100</f>
        <v>0.10077281408702703</v>
      </c>
      <c r="G4">
        <v>9.2200000000000006</v>
      </c>
      <c r="H4" s="8">
        <f t="shared" ref="H4:H12" si="2">G4/100</f>
        <v>9.2200000000000004E-2</v>
      </c>
      <c r="I4" s="8"/>
      <c r="J4" s="8"/>
      <c r="K4" s="13" t="s">
        <v>6</v>
      </c>
      <c r="L4" s="18">
        <v>0.23881894286494801</v>
      </c>
      <c r="M4" s="13">
        <v>11.03</v>
      </c>
      <c r="N4" s="8">
        <f>'avg_QALY_cong_psa (nodisc)'!B$2</f>
        <v>6.46581790236056E-2</v>
      </c>
      <c r="O4">
        <f t="shared" ref="O4:O12" si="3">N4*1306/26081.7</f>
        <v>3.2376563569410316E-3</v>
      </c>
      <c r="P4" s="18">
        <f t="shared" ref="P4:P12" si="4">L4*(1-M4/100) + (L4+O4)*M4/100</f>
        <v>0.23917605636111861</v>
      </c>
      <c r="Q4">
        <v>9.2200000000000006</v>
      </c>
      <c r="R4" s="8">
        <f t="shared" ref="R4:R12" si="5">Q4/100</f>
        <v>9.2200000000000004E-2</v>
      </c>
    </row>
    <row r="5" spans="1:18" ht="17" x14ac:dyDescent="0.2">
      <c r="A5" s="13" t="s">
        <v>7</v>
      </c>
      <c r="B5" s="16">
        <v>9.4247713613213699E-2</v>
      </c>
      <c r="C5" s="13">
        <v>11.03</v>
      </c>
      <c r="D5" s="8">
        <f>avg_QALY_cong_psa!$B$2</f>
        <v>6.0864934535724398E-2</v>
      </c>
      <c r="E5">
        <f t="shared" si="0"/>
        <v>3.0477156206710479E-3</v>
      </c>
      <c r="F5" s="16">
        <f t="shared" si="1"/>
        <v>9.4583876646173723E-2</v>
      </c>
      <c r="G5">
        <v>21.45</v>
      </c>
      <c r="H5" s="8">
        <f t="shared" si="2"/>
        <v>0.2145</v>
      </c>
      <c r="I5" s="8"/>
      <c r="J5" s="8"/>
      <c r="K5" s="13" t="s">
        <v>7</v>
      </c>
      <c r="L5" s="18">
        <v>0.211780515791756</v>
      </c>
      <c r="M5" s="13">
        <v>11.03</v>
      </c>
      <c r="N5" s="8">
        <f>'avg_QALY_cong_psa (nodisc)'!B$2</f>
        <v>6.46581790236056E-2</v>
      </c>
      <c r="O5">
        <f t="shared" si="3"/>
        <v>3.2376563569410316E-3</v>
      </c>
      <c r="P5" s="18">
        <f t="shared" si="4"/>
        <v>0.21213762928792659</v>
      </c>
      <c r="Q5">
        <v>21.45</v>
      </c>
      <c r="R5" s="8">
        <f t="shared" si="5"/>
        <v>0.2145</v>
      </c>
    </row>
    <row r="6" spans="1:18" ht="17" x14ac:dyDescent="0.2">
      <c r="A6" s="13" t="s">
        <v>8</v>
      </c>
      <c r="B6" s="16">
        <v>8.9166427727194894E-2</v>
      </c>
      <c r="C6" s="13">
        <v>15.01</v>
      </c>
      <c r="D6" s="8">
        <f>avg_QALY_cong_psa!$B$2</f>
        <v>6.0864934535724398E-2</v>
      </c>
      <c r="E6">
        <f t="shared" si="0"/>
        <v>3.0477156206710479E-3</v>
      </c>
      <c r="F6" s="16">
        <f t="shared" si="1"/>
        <v>8.962388984185761E-2</v>
      </c>
      <c r="G6">
        <v>22.44</v>
      </c>
      <c r="H6" s="8">
        <f t="shared" si="2"/>
        <v>0.22440000000000002</v>
      </c>
      <c r="I6" s="8"/>
      <c r="J6" s="8"/>
      <c r="K6" s="13" t="s">
        <v>8</v>
      </c>
      <c r="L6" s="18">
        <v>0.19197449696301</v>
      </c>
      <c r="M6" s="13">
        <v>15.01</v>
      </c>
      <c r="N6" s="8">
        <f>'avg_QALY_cong_psa (nodisc)'!B$2</f>
        <v>6.46581790236056E-2</v>
      </c>
      <c r="O6">
        <f t="shared" si="3"/>
        <v>3.2376563569410316E-3</v>
      </c>
      <c r="P6" s="18">
        <f t="shared" si="4"/>
        <v>0.19246046918218684</v>
      </c>
      <c r="Q6">
        <v>22.44</v>
      </c>
      <c r="R6" s="8">
        <f t="shared" si="5"/>
        <v>0.22440000000000002</v>
      </c>
    </row>
    <row r="7" spans="1:18" ht="17" x14ac:dyDescent="0.2">
      <c r="A7" s="13" t="s">
        <v>9</v>
      </c>
      <c r="B7" s="16">
        <v>0.101762542559008</v>
      </c>
      <c r="C7" s="13">
        <v>15.01</v>
      </c>
      <c r="D7" s="8">
        <f>avg_QALY_cong_psa!$B$2</f>
        <v>6.0864934535724398E-2</v>
      </c>
      <c r="E7">
        <f t="shared" si="0"/>
        <v>3.0477156206710479E-3</v>
      </c>
      <c r="F7" s="16">
        <f t="shared" si="1"/>
        <v>0.10222000467367073</v>
      </c>
      <c r="G7">
        <v>17.91</v>
      </c>
      <c r="H7" s="8">
        <f t="shared" si="2"/>
        <v>0.17910000000000001</v>
      </c>
      <c r="I7" s="8"/>
      <c r="J7" s="8"/>
      <c r="K7" s="13" t="s">
        <v>9</v>
      </c>
      <c r="L7" s="18">
        <v>0.216606302950476</v>
      </c>
      <c r="M7" s="13">
        <v>15.01</v>
      </c>
      <c r="N7" s="8">
        <f>'avg_QALY_cong_psa (nodisc)'!B$2</f>
        <v>6.46581790236056E-2</v>
      </c>
      <c r="O7">
        <f t="shared" si="3"/>
        <v>3.2376563569410316E-3</v>
      </c>
      <c r="P7" s="18">
        <f t="shared" si="4"/>
        <v>0.21709227516965285</v>
      </c>
      <c r="Q7">
        <v>17.91</v>
      </c>
      <c r="R7" s="8">
        <f t="shared" si="5"/>
        <v>0.17910000000000001</v>
      </c>
    </row>
    <row r="8" spans="1:18" ht="17" x14ac:dyDescent="0.2">
      <c r="A8" s="13" t="s">
        <v>10</v>
      </c>
      <c r="B8" s="16">
        <v>0.122977172755895</v>
      </c>
      <c r="C8" s="13">
        <v>4.79</v>
      </c>
      <c r="D8" s="8">
        <f>avg_QALY_cong_psa!$B$2</f>
        <v>6.0864934535724398E-2</v>
      </c>
      <c r="E8">
        <f t="shared" si="0"/>
        <v>3.0477156206710479E-3</v>
      </c>
      <c r="F8" s="16">
        <f t="shared" si="1"/>
        <v>0.12312315833412513</v>
      </c>
      <c r="G8">
        <v>13.85</v>
      </c>
      <c r="H8" s="8">
        <f t="shared" si="2"/>
        <v>0.13849999999999998</v>
      </c>
      <c r="I8" s="8"/>
      <c r="J8" s="8"/>
      <c r="K8" s="13" t="s">
        <v>10</v>
      </c>
      <c r="L8" s="18">
        <v>0.254877675928182</v>
      </c>
      <c r="M8" s="13">
        <v>4.79</v>
      </c>
      <c r="N8" s="8">
        <f>'avg_QALY_cong_psa (nodisc)'!B$2</f>
        <v>6.46581790236056E-2</v>
      </c>
      <c r="O8">
        <f t="shared" si="3"/>
        <v>3.2376563569410316E-3</v>
      </c>
      <c r="P8" s="18">
        <f t="shared" si="4"/>
        <v>0.25503275966767947</v>
      </c>
      <c r="Q8">
        <v>13.85</v>
      </c>
      <c r="R8" s="8">
        <f t="shared" si="5"/>
        <v>0.13849999999999998</v>
      </c>
    </row>
    <row r="9" spans="1:18" ht="17" x14ac:dyDescent="0.2">
      <c r="A9" s="13" t="s">
        <v>11</v>
      </c>
      <c r="B9" s="16">
        <v>0.12827284749183501</v>
      </c>
      <c r="C9" s="13">
        <v>4.79</v>
      </c>
      <c r="D9" s="8">
        <f>avg_QALY_cong_psa!$B$2</f>
        <v>6.0864934535724398E-2</v>
      </c>
      <c r="E9">
        <f t="shared" si="0"/>
        <v>3.0477156206710479E-3</v>
      </c>
      <c r="F9" s="16">
        <f t="shared" si="1"/>
        <v>0.12841883307006516</v>
      </c>
      <c r="G9">
        <v>8.6</v>
      </c>
      <c r="H9" s="8">
        <f t="shared" si="2"/>
        <v>8.5999999999999993E-2</v>
      </c>
      <c r="I9" s="8"/>
      <c r="J9" s="8"/>
      <c r="K9" s="13" t="s">
        <v>11</v>
      </c>
      <c r="L9" s="18">
        <v>0.25384414452840698</v>
      </c>
      <c r="M9" s="13">
        <v>4.79</v>
      </c>
      <c r="N9" s="8">
        <f>'avg_QALY_cong_psa (nodisc)'!B$2</f>
        <v>6.46581790236056E-2</v>
      </c>
      <c r="O9">
        <f t="shared" si="3"/>
        <v>3.2376563569410316E-3</v>
      </c>
      <c r="P9" s="18">
        <f t="shared" si="4"/>
        <v>0.25399922826790444</v>
      </c>
      <c r="Q9">
        <v>8.6</v>
      </c>
      <c r="R9" s="8">
        <f t="shared" si="5"/>
        <v>8.5999999999999993E-2</v>
      </c>
    </row>
    <row r="10" spans="1:18" ht="17" x14ac:dyDescent="0.2">
      <c r="A10" s="13" t="s">
        <v>12</v>
      </c>
      <c r="B10" s="16">
        <v>0.122129490945424</v>
      </c>
      <c r="C10" s="13">
        <v>0</v>
      </c>
      <c r="D10" s="8">
        <f>avg_QALY_cong_psa!$B$2</f>
        <v>6.0864934535724398E-2</v>
      </c>
      <c r="E10">
        <f t="shared" si="0"/>
        <v>3.0477156206710479E-3</v>
      </c>
      <c r="F10" s="16">
        <f t="shared" si="1"/>
        <v>0.122129490945424</v>
      </c>
      <c r="G10">
        <v>4.57</v>
      </c>
      <c r="H10" s="8">
        <f t="shared" si="2"/>
        <v>4.5700000000000005E-2</v>
      </c>
      <c r="I10" s="8"/>
      <c r="J10" s="8"/>
      <c r="K10" s="13" t="s">
        <v>12</v>
      </c>
      <c r="L10" s="18">
        <v>0.21727066757691099</v>
      </c>
      <c r="M10" s="13">
        <v>0</v>
      </c>
      <c r="N10" s="8">
        <f>'avg_QALY_cong_psa (nodisc)'!B$2</f>
        <v>6.46581790236056E-2</v>
      </c>
      <c r="O10">
        <f t="shared" si="3"/>
        <v>3.2376563569410316E-3</v>
      </c>
      <c r="P10" s="18">
        <f t="shared" si="4"/>
        <v>0.21727066757691099</v>
      </c>
      <c r="Q10">
        <v>4.57</v>
      </c>
      <c r="R10" s="8">
        <f t="shared" si="5"/>
        <v>4.5700000000000005E-2</v>
      </c>
    </row>
    <row r="11" spans="1:18" ht="17" x14ac:dyDescent="0.2">
      <c r="A11" s="13" t="s">
        <v>13</v>
      </c>
      <c r="B11" s="16">
        <v>9.3273065097557603E-2</v>
      </c>
      <c r="C11" s="13">
        <v>0</v>
      </c>
      <c r="D11" s="8">
        <f>avg_QALY_cong_psa!$B$2</f>
        <v>6.0864934535724398E-2</v>
      </c>
      <c r="E11">
        <f t="shared" si="0"/>
        <v>3.0477156206710479E-3</v>
      </c>
      <c r="F11" s="16">
        <f t="shared" si="1"/>
        <v>9.3273065097557603E-2</v>
      </c>
      <c r="G11">
        <v>1.53</v>
      </c>
      <c r="H11" s="8">
        <f t="shared" si="2"/>
        <v>1.5300000000000001E-2</v>
      </c>
      <c r="I11" s="8"/>
      <c r="J11" s="8"/>
      <c r="K11" s="13" t="s">
        <v>13</v>
      </c>
      <c r="L11" s="18">
        <v>0.142535730003267</v>
      </c>
      <c r="M11" s="13">
        <v>0</v>
      </c>
      <c r="N11" s="8">
        <f>'avg_QALY_cong_psa (nodisc)'!B$2</f>
        <v>6.46581790236056E-2</v>
      </c>
      <c r="O11">
        <f t="shared" si="3"/>
        <v>3.2376563569410316E-3</v>
      </c>
      <c r="P11" s="18">
        <f t="shared" si="4"/>
        <v>0.142535730003267</v>
      </c>
      <c r="Q11">
        <v>1.53</v>
      </c>
      <c r="R11" s="8">
        <f t="shared" si="5"/>
        <v>1.5300000000000001E-2</v>
      </c>
    </row>
    <row r="12" spans="1:18" ht="17" x14ac:dyDescent="0.2">
      <c r="A12" s="13" t="s">
        <v>14</v>
      </c>
      <c r="B12" s="16">
        <v>4.3808820537024798E-2</v>
      </c>
      <c r="C12" s="13">
        <v>0</v>
      </c>
      <c r="D12" s="8">
        <f>avg_QALY_cong_psa!$B$2</f>
        <v>6.0864934535724398E-2</v>
      </c>
      <c r="E12">
        <f t="shared" si="0"/>
        <v>3.0477156206710479E-3</v>
      </c>
      <c r="F12" s="16">
        <f t="shared" si="1"/>
        <v>4.3808820537024798E-2</v>
      </c>
      <c r="G12">
        <v>0.22</v>
      </c>
      <c r="H12" s="8">
        <f t="shared" si="2"/>
        <v>2.2000000000000001E-3</v>
      </c>
      <c r="I12" s="8"/>
      <c r="J12" s="8"/>
      <c r="K12" s="13" t="s">
        <v>14</v>
      </c>
      <c r="L12" s="18">
        <v>5.1618519354409198E-2</v>
      </c>
      <c r="M12" s="13">
        <v>0</v>
      </c>
      <c r="N12" s="8">
        <f>'avg_QALY_cong_psa (nodisc)'!B$2</f>
        <v>6.46581790236056E-2</v>
      </c>
      <c r="O12">
        <f t="shared" si="3"/>
        <v>3.2376563569410316E-3</v>
      </c>
      <c r="P12" s="18">
        <f t="shared" si="4"/>
        <v>5.1618519354409198E-2</v>
      </c>
      <c r="Q12">
        <v>0.22</v>
      </c>
      <c r="R12" s="8">
        <f t="shared" si="5"/>
        <v>2.2000000000000001E-3</v>
      </c>
    </row>
    <row r="13" spans="1:18" ht="17" x14ac:dyDescent="0.2">
      <c r="A13" s="13" t="s">
        <v>53</v>
      </c>
      <c r="B13" s="16">
        <f>B3*$H3+B4*$H4+B5*$H5+B6*$H6+B7*$H7+B8*$H8+B9*$H9+B10*$H10+B11*$H11+B12*$H12</f>
        <v>0.10315912177450424</v>
      </c>
      <c r="C13" s="13"/>
      <c r="D13" s="8"/>
      <c r="F13" s="16">
        <f>F3*$H3+F4*$H4+F5*$H5+F6*$H6+F7*$H7+F8*$H8+F9*$H9+F10*$H10+F11*$H11+F12*$H12</f>
        <v>0.10347958538428191</v>
      </c>
      <c r="H13" s="8"/>
      <c r="I13" s="8"/>
      <c r="J13" s="8"/>
      <c r="K13" s="13" t="s">
        <v>53</v>
      </c>
      <c r="L13" s="18">
        <f>L3*$H3+L4*$H4+L5*$H5+L6*$H6+L7*$H7+L8*$H8+L9*$H9+L10*$H10+L11*$H11+L12*$H12</f>
        <v>0.21939046868075518</v>
      </c>
      <c r="M13" s="13"/>
      <c r="N13" s="8"/>
      <c r="P13" s="18">
        <f>P3*$H3+P4*$H4+P5*$H5+P6*$H6+P7*$H7+P8*$H8+P9*$H9+P10*$H10+P11*$H11+P12*$H12</f>
        <v>0.21973090432912332</v>
      </c>
    </row>
    <row r="14" spans="1:18" x14ac:dyDescent="0.2">
      <c r="A14" t="s">
        <v>49</v>
      </c>
      <c r="K14" t="s">
        <v>47</v>
      </c>
    </row>
    <row r="15" spans="1:18" ht="85" x14ac:dyDescent="0.2">
      <c r="A15" s="13" t="s">
        <v>40</v>
      </c>
      <c r="B15" s="15" t="s">
        <v>41</v>
      </c>
      <c r="C15" s="13" t="s">
        <v>42</v>
      </c>
      <c r="D15" s="13" t="s">
        <v>43</v>
      </c>
      <c r="E15" s="13" t="s">
        <v>44</v>
      </c>
      <c r="F15" s="15" t="s">
        <v>45</v>
      </c>
      <c r="G15" s="13" t="s">
        <v>50</v>
      </c>
      <c r="H15" s="13" t="s">
        <v>55</v>
      </c>
      <c r="I15" s="13"/>
      <c r="J15" s="13"/>
      <c r="K15" s="13" t="s">
        <v>40</v>
      </c>
      <c r="L15" s="17" t="s">
        <v>41</v>
      </c>
      <c r="M15" s="13" t="s">
        <v>42</v>
      </c>
      <c r="N15" s="13" t="s">
        <v>43</v>
      </c>
      <c r="O15" s="13" t="s">
        <v>44</v>
      </c>
      <c r="P15" s="17" t="s">
        <v>45</v>
      </c>
      <c r="Q15" s="13" t="s">
        <v>50</v>
      </c>
      <c r="R15" s="13" t="s">
        <v>55</v>
      </c>
    </row>
    <row r="16" spans="1:18" ht="17" x14ac:dyDescent="0.2">
      <c r="A16" s="14" t="s">
        <v>16</v>
      </c>
      <c r="B16" s="16">
        <v>4.65311003915303E-2</v>
      </c>
      <c r="C16" s="13">
        <v>0.04</v>
      </c>
      <c r="D16" s="6">
        <f>avg_QALY_cong_psa!$D$2</f>
        <v>1.30508759615614E-2</v>
      </c>
      <c r="E16">
        <f>D16*1306/26081.7</f>
        <v>6.5350203421552996E-4</v>
      </c>
      <c r="F16" s="16">
        <f>B16*(1-C16/100) + (B16+E16)*C16/100</f>
        <v>4.6531361792343989E-2</v>
      </c>
      <c r="G16">
        <v>0.22</v>
      </c>
      <c r="H16" s="8">
        <f>G16/100</f>
        <v>2.2000000000000001E-3</v>
      </c>
      <c r="I16" s="8"/>
      <c r="J16" s="8"/>
      <c r="K16" s="14" t="s">
        <v>16</v>
      </c>
      <c r="L16" s="18">
        <v>9.8212576943888102E-2</v>
      </c>
      <c r="M16" s="13">
        <v>0.04</v>
      </c>
      <c r="N16" s="8">
        <f>'avg_QALY_cong_psa (nodisc)'!D$2</f>
        <v>1.3834638439039501E-2</v>
      </c>
      <c r="O16">
        <f>N16*1306/26081.7</f>
        <v>6.9274770438221397E-4</v>
      </c>
      <c r="P16" s="18">
        <f>L16*(1-M16/100) + (L16+O16)*M16/100</f>
        <v>9.8212854042969866E-2</v>
      </c>
      <c r="Q16">
        <v>0.22</v>
      </c>
      <c r="R16" s="8">
        <f>Q16/100</f>
        <v>2.2000000000000001E-3</v>
      </c>
    </row>
    <row r="17" spans="1:18" ht="17" x14ac:dyDescent="0.2">
      <c r="A17" s="13" t="s">
        <v>6</v>
      </c>
      <c r="B17" s="16">
        <v>4.0384744510982798E-2</v>
      </c>
      <c r="C17" s="13">
        <v>11.03</v>
      </c>
      <c r="D17" s="6">
        <f>avg_QALY_cong_psa!$D$2</f>
        <v>1.30508759615614E-2</v>
      </c>
      <c r="E17">
        <f t="shared" ref="E17:E25" si="6">D17*1306/26081.7</f>
        <v>6.5350203421552996E-4</v>
      </c>
      <c r="F17" s="16">
        <f t="shared" ref="F17:F25" si="7">B17*(1-C17/100) + (B17+E17)*C17/100</f>
        <v>4.0456825785356768E-2</v>
      </c>
      <c r="G17">
        <v>9.2200000000000006</v>
      </c>
      <c r="H17" s="8">
        <f t="shared" ref="H17:H25" si="8">G17/100</f>
        <v>9.2200000000000004E-2</v>
      </c>
      <c r="I17" s="8"/>
      <c r="J17" s="8"/>
      <c r="K17" s="13" t="s">
        <v>6</v>
      </c>
      <c r="L17" s="18">
        <v>8.0417356897566905E-2</v>
      </c>
      <c r="M17" s="13">
        <v>11.03</v>
      </c>
      <c r="N17" s="8">
        <f>'avg_QALY_cong_psa (nodisc)'!D$2</f>
        <v>1.3834638439039501E-2</v>
      </c>
      <c r="O17">
        <f t="shared" ref="O17:O25" si="9">N17*1306/26081.7</f>
        <v>6.9274770438221397E-4</v>
      </c>
      <c r="P17" s="18">
        <f t="shared" ref="P17:P25" si="10">L17*(1-M17/100) + (L17+O17)*M17/100</f>
        <v>8.0493766969360253E-2</v>
      </c>
      <c r="Q17">
        <v>9.2200000000000006</v>
      </c>
      <c r="R17" s="8">
        <f t="shared" ref="R17:R25" si="11">Q17/100</f>
        <v>9.2200000000000004E-2</v>
      </c>
    </row>
    <row r="18" spans="1:18" ht="17" x14ac:dyDescent="0.2">
      <c r="A18" s="13" t="s">
        <v>7</v>
      </c>
      <c r="B18" s="16">
        <v>3.9211009641124998E-2</v>
      </c>
      <c r="C18" s="13">
        <v>11.03</v>
      </c>
      <c r="D18" s="6">
        <f>avg_QALY_cong_psa!$D$2</f>
        <v>1.30508759615614E-2</v>
      </c>
      <c r="E18">
        <f t="shared" si="6"/>
        <v>6.5350203421552996E-4</v>
      </c>
      <c r="F18" s="16">
        <f t="shared" si="7"/>
        <v>3.9283090915498975E-2</v>
      </c>
      <c r="G18">
        <v>21.45</v>
      </c>
      <c r="H18" s="8">
        <f t="shared" si="8"/>
        <v>0.2145</v>
      </c>
      <c r="I18" s="8"/>
      <c r="J18" s="8"/>
      <c r="K18" s="13" t="s">
        <v>7</v>
      </c>
      <c r="L18" s="18">
        <v>7.4104090499042596E-2</v>
      </c>
      <c r="M18" s="13">
        <v>11.03</v>
      </c>
      <c r="N18" s="8">
        <f>'avg_QALY_cong_psa (nodisc)'!D$2</f>
        <v>1.3834638439039501E-2</v>
      </c>
      <c r="O18">
        <f t="shared" si="9"/>
        <v>6.9274770438221397E-4</v>
      </c>
      <c r="P18" s="18">
        <f t="shared" si="10"/>
        <v>7.4180500570835958E-2</v>
      </c>
      <c r="Q18">
        <v>21.45</v>
      </c>
      <c r="R18" s="8">
        <f t="shared" si="11"/>
        <v>0.2145</v>
      </c>
    </row>
    <row r="19" spans="1:18" ht="17" x14ac:dyDescent="0.2">
      <c r="A19" s="13" t="s">
        <v>8</v>
      </c>
      <c r="B19" s="16">
        <v>3.71809415766838E-2</v>
      </c>
      <c r="C19" s="13">
        <v>15.01</v>
      </c>
      <c r="D19" s="6">
        <f>avg_QALY_cong_psa!$D$2</f>
        <v>1.30508759615614E-2</v>
      </c>
      <c r="E19">
        <f t="shared" si="6"/>
        <v>6.5350203421552996E-4</v>
      </c>
      <c r="F19" s="16">
        <f t="shared" si="7"/>
        <v>3.7279032232019553E-2</v>
      </c>
      <c r="G19">
        <v>22.44</v>
      </c>
      <c r="H19" s="8">
        <f t="shared" si="8"/>
        <v>0.22440000000000002</v>
      </c>
      <c r="I19" s="8"/>
      <c r="J19" s="8"/>
      <c r="K19" s="13" t="s">
        <v>8</v>
      </c>
      <c r="L19" s="18">
        <v>6.5309501467166006E-2</v>
      </c>
      <c r="M19" s="13">
        <v>15.01</v>
      </c>
      <c r="N19" s="8">
        <f>'avg_QALY_cong_psa (nodisc)'!D$2</f>
        <v>1.3834638439039501E-2</v>
      </c>
      <c r="O19">
        <f t="shared" si="9"/>
        <v>6.9274770438221397E-4</v>
      </c>
      <c r="P19" s="18">
        <f t="shared" si="10"/>
        <v>6.5413482897593772E-2</v>
      </c>
      <c r="Q19">
        <v>22.44</v>
      </c>
      <c r="R19" s="8">
        <f t="shared" si="11"/>
        <v>0.22440000000000002</v>
      </c>
    </row>
    <row r="20" spans="1:18" ht="17" x14ac:dyDescent="0.2">
      <c r="A20" s="13" t="s">
        <v>9</v>
      </c>
      <c r="B20" s="16">
        <v>3.7291325251280899E-2</v>
      </c>
      <c r="C20" s="13">
        <v>15.01</v>
      </c>
      <c r="D20" s="6">
        <f>avg_QALY_cong_psa!$D$2</f>
        <v>1.30508759615614E-2</v>
      </c>
      <c r="E20">
        <f t="shared" si="6"/>
        <v>6.5350203421552996E-4</v>
      </c>
      <c r="F20" s="16">
        <f t="shared" si="7"/>
        <v>3.7389415906616652E-2</v>
      </c>
      <c r="G20">
        <v>17.91</v>
      </c>
      <c r="H20" s="8">
        <f t="shared" si="8"/>
        <v>0.17910000000000001</v>
      </c>
      <c r="I20" s="8"/>
      <c r="J20" s="8"/>
      <c r="K20" s="13" t="s">
        <v>9</v>
      </c>
      <c r="L20" s="18">
        <v>6.4344730481877305E-2</v>
      </c>
      <c r="M20" s="13">
        <v>15.01</v>
      </c>
      <c r="N20" s="8">
        <f>'avg_QALY_cong_psa (nodisc)'!D$2</f>
        <v>1.3834638439039501E-2</v>
      </c>
      <c r="O20">
        <f t="shared" si="9"/>
        <v>6.9274770438221397E-4</v>
      </c>
      <c r="P20" s="18">
        <f t="shared" si="10"/>
        <v>6.4448711912305071E-2</v>
      </c>
      <c r="Q20">
        <v>17.91</v>
      </c>
      <c r="R20" s="8">
        <f t="shared" si="11"/>
        <v>0.17910000000000001</v>
      </c>
    </row>
    <row r="21" spans="1:18" ht="17" x14ac:dyDescent="0.2">
      <c r="A21" s="13" t="s">
        <v>10</v>
      </c>
      <c r="B21" s="16">
        <v>3.9888707858212101E-2</v>
      </c>
      <c r="C21" s="13">
        <v>4.79</v>
      </c>
      <c r="D21" s="6">
        <f>avg_QALY_cong_psa!$D$2</f>
        <v>1.30508759615614E-2</v>
      </c>
      <c r="E21">
        <f t="shared" si="6"/>
        <v>6.5350203421552996E-4</v>
      </c>
      <c r="F21" s="16">
        <f t="shared" si="7"/>
        <v>3.9920010605651021E-2</v>
      </c>
      <c r="G21">
        <v>13.85</v>
      </c>
      <c r="H21" s="8">
        <f t="shared" si="8"/>
        <v>0.13849999999999998</v>
      </c>
      <c r="I21" s="8"/>
      <c r="J21" s="8"/>
      <c r="K21" s="13" t="s">
        <v>10</v>
      </c>
      <c r="L21" s="18">
        <v>6.6322468064129794E-2</v>
      </c>
      <c r="M21" s="13">
        <v>4.79</v>
      </c>
      <c r="N21" s="8">
        <f>'avg_QALY_cong_psa (nodisc)'!D$2</f>
        <v>1.3834638439039501E-2</v>
      </c>
      <c r="O21">
        <f t="shared" si="9"/>
        <v>6.9274770438221397E-4</v>
      </c>
      <c r="P21" s="18">
        <f t="shared" si="10"/>
        <v>6.6355650679169695E-2</v>
      </c>
      <c r="Q21">
        <v>13.85</v>
      </c>
      <c r="R21" s="8">
        <f t="shared" si="11"/>
        <v>0.13849999999999998</v>
      </c>
    </row>
    <row r="22" spans="1:18" ht="17" x14ac:dyDescent="0.2">
      <c r="A22" s="13" t="s">
        <v>11</v>
      </c>
      <c r="B22" s="16">
        <v>3.8861809140380399E-2</v>
      </c>
      <c r="C22" s="13">
        <v>4.79</v>
      </c>
      <c r="D22" s="6">
        <f>avg_QALY_cong_psa!$D$2</f>
        <v>1.30508759615614E-2</v>
      </c>
      <c r="E22">
        <f t="shared" si="6"/>
        <v>6.5350203421552996E-4</v>
      </c>
      <c r="F22" s="16">
        <f t="shared" si="7"/>
        <v>3.8893111887819319E-2</v>
      </c>
      <c r="G22">
        <v>8.6</v>
      </c>
      <c r="H22" s="8">
        <f t="shared" si="8"/>
        <v>8.5999999999999993E-2</v>
      </c>
      <c r="I22" s="8"/>
      <c r="J22" s="8"/>
      <c r="K22" s="13" t="s">
        <v>11</v>
      </c>
      <c r="L22" s="18">
        <v>6.1554534205486899E-2</v>
      </c>
      <c r="M22" s="13">
        <v>4.79</v>
      </c>
      <c r="N22" s="8">
        <f>'avg_QALY_cong_psa (nodisc)'!D$2</f>
        <v>1.3834638439039501E-2</v>
      </c>
      <c r="O22">
        <f t="shared" si="9"/>
        <v>6.9274770438221397E-4</v>
      </c>
      <c r="P22" s="18">
        <f t="shared" si="10"/>
        <v>6.1587716820526807E-2</v>
      </c>
      <c r="Q22">
        <v>8.6</v>
      </c>
      <c r="R22" s="8">
        <f t="shared" si="11"/>
        <v>8.5999999999999993E-2</v>
      </c>
    </row>
    <row r="23" spans="1:18" ht="17" x14ac:dyDescent="0.2">
      <c r="A23" s="13" t="s">
        <v>12</v>
      </c>
      <c r="B23" s="16">
        <v>3.7684803778128197E-2</v>
      </c>
      <c r="C23" s="13">
        <v>0</v>
      </c>
      <c r="D23" s="6">
        <f>avg_QALY_cong_psa!$D$2</f>
        <v>1.30508759615614E-2</v>
      </c>
      <c r="E23">
        <f t="shared" si="6"/>
        <v>6.5350203421552996E-4</v>
      </c>
      <c r="F23" s="16">
        <f t="shared" si="7"/>
        <v>3.7684803778128197E-2</v>
      </c>
      <c r="G23">
        <v>4.57</v>
      </c>
      <c r="H23" s="8">
        <f t="shared" si="8"/>
        <v>4.5700000000000005E-2</v>
      </c>
      <c r="I23" s="8"/>
      <c r="J23" s="8"/>
      <c r="K23" s="13" t="s">
        <v>12</v>
      </c>
      <c r="L23" s="18">
        <v>5.4592838024680602E-2</v>
      </c>
      <c r="M23" s="13">
        <v>0</v>
      </c>
      <c r="N23" s="8">
        <f>'avg_QALY_cong_psa (nodisc)'!D$2</f>
        <v>1.3834638439039501E-2</v>
      </c>
      <c r="O23">
        <f t="shared" si="9"/>
        <v>6.9274770438221397E-4</v>
      </c>
      <c r="P23" s="18">
        <f t="shared" si="10"/>
        <v>5.4592838024680602E-2</v>
      </c>
      <c r="Q23">
        <v>4.57</v>
      </c>
      <c r="R23" s="8">
        <f t="shared" si="11"/>
        <v>4.5700000000000005E-2</v>
      </c>
    </row>
    <row r="24" spans="1:18" ht="17" x14ac:dyDescent="0.2">
      <c r="A24" s="13" t="s">
        <v>13</v>
      </c>
      <c r="B24" s="16">
        <v>3.3236887422731003E-2</v>
      </c>
      <c r="C24" s="13">
        <v>0</v>
      </c>
      <c r="D24" s="6">
        <f>avg_QALY_cong_psa!$D$2</f>
        <v>1.30508759615614E-2</v>
      </c>
      <c r="E24">
        <f t="shared" si="6"/>
        <v>6.5350203421552996E-4</v>
      </c>
      <c r="F24" s="16">
        <f t="shared" si="7"/>
        <v>3.3236887422731003E-2</v>
      </c>
      <c r="G24">
        <v>1.53</v>
      </c>
      <c r="H24" s="8">
        <f t="shared" si="8"/>
        <v>1.5300000000000001E-2</v>
      </c>
      <c r="I24" s="8"/>
      <c r="J24" s="8"/>
      <c r="K24" s="13" t="s">
        <v>13</v>
      </c>
      <c r="L24" s="18">
        <v>4.2559853096020797E-2</v>
      </c>
      <c r="M24" s="13">
        <v>0</v>
      </c>
      <c r="N24" s="8">
        <f>'avg_QALY_cong_psa (nodisc)'!D$2</f>
        <v>1.3834638439039501E-2</v>
      </c>
      <c r="O24">
        <f t="shared" si="9"/>
        <v>6.9274770438221397E-4</v>
      </c>
      <c r="P24" s="18">
        <f t="shared" si="10"/>
        <v>4.2559853096020797E-2</v>
      </c>
      <c r="Q24">
        <v>1.53</v>
      </c>
      <c r="R24" s="8">
        <f t="shared" si="11"/>
        <v>1.5300000000000001E-2</v>
      </c>
    </row>
    <row r="25" spans="1:18" ht="17" x14ac:dyDescent="0.2">
      <c r="A25" s="13" t="s">
        <v>14</v>
      </c>
      <c r="B25" s="16">
        <v>2.2460681354922501E-2</v>
      </c>
      <c r="C25" s="13">
        <v>0</v>
      </c>
      <c r="D25" s="6">
        <f>avg_QALY_cong_psa!$D$2</f>
        <v>1.30508759615614E-2</v>
      </c>
      <c r="E25">
        <f t="shared" si="6"/>
        <v>6.5350203421552996E-4</v>
      </c>
      <c r="F25" s="16">
        <f t="shared" si="7"/>
        <v>2.2460681354922501E-2</v>
      </c>
      <c r="G25">
        <v>0.22</v>
      </c>
      <c r="H25" s="8">
        <f t="shared" si="8"/>
        <v>2.2000000000000001E-3</v>
      </c>
      <c r="I25" s="8"/>
      <c r="J25" s="8"/>
      <c r="K25" s="13" t="s">
        <v>14</v>
      </c>
      <c r="L25" s="18">
        <v>2.5232225405837999E-2</v>
      </c>
      <c r="M25" s="13">
        <v>0</v>
      </c>
      <c r="N25" s="8">
        <f>'avg_QALY_cong_psa (nodisc)'!D$2</f>
        <v>1.3834638439039501E-2</v>
      </c>
      <c r="O25">
        <f t="shared" si="9"/>
        <v>6.9274770438221397E-4</v>
      </c>
      <c r="P25" s="18">
        <f t="shared" si="10"/>
        <v>2.5232225405837999E-2</v>
      </c>
      <c r="Q25">
        <v>0.22</v>
      </c>
      <c r="R25" s="8">
        <f t="shared" si="11"/>
        <v>2.2000000000000001E-3</v>
      </c>
    </row>
    <row r="26" spans="1:18" ht="17" x14ac:dyDescent="0.2">
      <c r="A26" s="13" t="s">
        <v>53</v>
      </c>
      <c r="B26" s="16">
        <f>B16*$H16+B17*$H17+B18*$H18+B19*$H19+B20*$H20+B21*$H21+B22*$H22+B23*$H23+B24*$H24+B25*$H25</f>
        <v>3.8405718108751707E-2</v>
      </c>
      <c r="C26" s="13"/>
      <c r="D26" s="6"/>
      <c r="F26" s="16">
        <f>F16*$H16+F17*$H17+F18*$H18+F19*$H19+F20*$H20+F21*$H21+F22*$H22+F23*$H23+F24*$H24+F25*$H25</f>
        <v>3.8474433056912012E-2</v>
      </c>
      <c r="H26" s="8"/>
      <c r="I26" s="8"/>
      <c r="J26" s="8"/>
      <c r="K26" s="13" t="s">
        <v>53</v>
      </c>
      <c r="L26" s="18">
        <f>L16*$H16+L17*$H17+L18*$H18+L19*$H19+L20*$H20+L21*$H21+L22*$H22+L23*$H23+L24*$H24+L25*$H25</f>
        <v>6.7386389860356846E-2</v>
      </c>
      <c r="M26" s="13"/>
      <c r="N26" s="8"/>
      <c r="P26" s="18">
        <f>P16*$H16+P17*$H17+P18*$H18+P19*$H19+P20*$H20+P21*$H21+P22*$H22+P23*$H23+P24*$H24+P25*$H25</f>
        <v>6.7459231443247919E-2</v>
      </c>
    </row>
    <row r="27" spans="1:18" x14ac:dyDescent="0.2">
      <c r="A27" t="s">
        <v>51</v>
      </c>
      <c r="K27" t="s">
        <v>52</v>
      </c>
    </row>
    <row r="28" spans="1:18" ht="85" x14ac:dyDescent="0.2">
      <c r="A28" s="13" t="s">
        <v>40</v>
      </c>
      <c r="B28" s="15" t="s">
        <v>41</v>
      </c>
      <c r="C28" s="13" t="s">
        <v>42</v>
      </c>
      <c r="D28" s="13" t="s">
        <v>43</v>
      </c>
      <c r="E28" s="13" t="s">
        <v>44</v>
      </c>
      <c r="F28" s="15" t="s">
        <v>45</v>
      </c>
      <c r="G28" s="13" t="s">
        <v>50</v>
      </c>
      <c r="H28" s="13" t="s">
        <v>55</v>
      </c>
      <c r="I28" s="13"/>
      <c r="J28" s="13"/>
      <c r="K28" s="13" t="s">
        <v>40</v>
      </c>
      <c r="L28" s="17" t="s">
        <v>41</v>
      </c>
      <c r="M28" s="13" t="s">
        <v>42</v>
      </c>
      <c r="N28" s="13" t="s">
        <v>43</v>
      </c>
      <c r="O28" s="13" t="s">
        <v>44</v>
      </c>
      <c r="P28" s="17" t="s">
        <v>45</v>
      </c>
      <c r="Q28" s="13" t="s">
        <v>50</v>
      </c>
      <c r="R28" s="13" t="s">
        <v>55</v>
      </c>
    </row>
    <row r="29" spans="1:18" ht="17" x14ac:dyDescent="0.2">
      <c r="A29" s="14" t="s">
        <v>16</v>
      </c>
      <c r="B29" s="16">
        <v>0.270832069688143</v>
      </c>
      <c r="C29" s="13">
        <v>0.04</v>
      </c>
      <c r="D29" s="6">
        <f>avg_QALY_cong_psa!$F$2</f>
        <v>0.13557738652093401</v>
      </c>
      <c r="E29">
        <f>D29*1306/26081.7</f>
        <v>6.7888238418638289E-3</v>
      </c>
      <c r="F29" s="16">
        <f>B29*(1-C29/100) + (B29+E29)*C29/100</f>
        <v>0.27083478521767973</v>
      </c>
      <c r="G29">
        <v>0.22</v>
      </c>
      <c r="H29" s="8">
        <f>G29/100</f>
        <v>2.2000000000000001E-3</v>
      </c>
      <c r="I29" s="8"/>
      <c r="J29" s="8"/>
      <c r="K29" s="14" t="s">
        <v>16</v>
      </c>
      <c r="L29" s="18">
        <v>0.74904726901561802</v>
      </c>
      <c r="M29" s="13">
        <v>0.04</v>
      </c>
      <c r="N29" s="8">
        <f>'avg_QALY_cong_psa (nodisc)'!F$2</f>
        <v>0.14538168108045799</v>
      </c>
      <c r="O29">
        <f>N29*1306/26081.7</f>
        <v>7.2797584318153386E-3</v>
      </c>
      <c r="P29" s="18">
        <f>L29*(1-M29/100) + (L29+O29)*M29/100</f>
        <v>0.74905018091899078</v>
      </c>
      <c r="Q29">
        <v>0.22</v>
      </c>
      <c r="R29" s="8">
        <f>Q29/100</f>
        <v>2.2000000000000001E-3</v>
      </c>
    </row>
    <row r="30" spans="1:18" ht="17" x14ac:dyDescent="0.2">
      <c r="A30" s="13" t="s">
        <v>6</v>
      </c>
      <c r="B30" s="16">
        <v>0.21535663653378301</v>
      </c>
      <c r="C30" s="13">
        <v>11.03</v>
      </c>
      <c r="D30" s="6">
        <f>avg_QALY_cong_psa!$F$2</f>
        <v>0.13557738652093401</v>
      </c>
      <c r="E30">
        <f t="shared" ref="E30:E38" si="12">D30*1306/26081.7</f>
        <v>6.7888238418638289E-3</v>
      </c>
      <c r="F30" s="16">
        <f t="shared" ref="F30:F38" si="13">B30*(1-C30/100) + (B30+E30)*C30/100</f>
        <v>0.2161054438035406</v>
      </c>
      <c r="G30">
        <v>9.2200000000000006</v>
      </c>
      <c r="H30" s="8">
        <f t="shared" ref="H30:H38" si="14">G30/100</f>
        <v>9.2200000000000004E-2</v>
      </c>
      <c r="I30" s="8"/>
      <c r="J30" s="8"/>
      <c r="K30" s="13" t="s">
        <v>6</v>
      </c>
      <c r="L30" s="18">
        <v>0.55804868426396004</v>
      </c>
      <c r="M30" s="13">
        <v>11.03</v>
      </c>
      <c r="N30" s="8">
        <f>'avg_QALY_cong_psa (nodisc)'!F$2</f>
        <v>0.14538168108045799</v>
      </c>
      <c r="O30">
        <f t="shared" ref="O30:O38" si="15">N30*1306/26081.7</f>
        <v>7.2797584318153386E-3</v>
      </c>
      <c r="P30" s="18">
        <f t="shared" ref="P30:P38" si="16">L30*(1-M30/100) + (L30+O30)*M30/100</f>
        <v>0.55885164161898937</v>
      </c>
      <c r="Q30">
        <v>9.2200000000000006</v>
      </c>
      <c r="R30" s="8">
        <f t="shared" ref="R30:R38" si="17">Q30/100</f>
        <v>9.2200000000000004E-2</v>
      </c>
    </row>
    <row r="31" spans="1:18" ht="17" x14ac:dyDescent="0.2">
      <c r="A31" s="13" t="s">
        <v>7</v>
      </c>
      <c r="B31" s="16">
        <v>0.19914863930709001</v>
      </c>
      <c r="C31" s="13">
        <v>11.03</v>
      </c>
      <c r="D31" s="6">
        <f>avg_QALY_cong_psa!$F$2</f>
        <v>0.13557738652093401</v>
      </c>
      <c r="E31">
        <f t="shared" si="12"/>
        <v>6.7888238418638289E-3</v>
      </c>
      <c r="F31" s="16">
        <f t="shared" si="13"/>
        <v>0.1998974465768476</v>
      </c>
      <c r="G31">
        <v>21.45</v>
      </c>
      <c r="H31" s="8">
        <f t="shared" si="14"/>
        <v>0.2145</v>
      </c>
      <c r="I31" s="8"/>
      <c r="J31" s="8"/>
      <c r="K31" s="13" t="s">
        <v>7</v>
      </c>
      <c r="L31" s="18">
        <v>0.49259046364966502</v>
      </c>
      <c r="M31" s="13">
        <v>11.03</v>
      </c>
      <c r="N31" s="8">
        <f>'avg_QALY_cong_psa (nodisc)'!F$2</f>
        <v>0.14538168108045799</v>
      </c>
      <c r="O31">
        <f t="shared" si="15"/>
        <v>7.2797584318153386E-3</v>
      </c>
      <c r="P31" s="18">
        <f t="shared" si="16"/>
        <v>0.4933934210046943</v>
      </c>
      <c r="Q31">
        <v>21.45</v>
      </c>
      <c r="R31" s="8">
        <f t="shared" si="17"/>
        <v>0.2145</v>
      </c>
    </row>
    <row r="32" spans="1:18" ht="17" x14ac:dyDescent="0.2">
      <c r="A32" s="13" t="s">
        <v>8</v>
      </c>
      <c r="B32" s="16">
        <v>0.193758241600923</v>
      </c>
      <c r="C32" s="13">
        <v>15.01</v>
      </c>
      <c r="D32" s="6">
        <f>avg_QALY_cong_psa!$F$2</f>
        <v>0.13557738652093401</v>
      </c>
      <c r="E32">
        <f t="shared" si="12"/>
        <v>6.7888238418638289E-3</v>
      </c>
      <c r="F32" s="16">
        <f t="shared" si="13"/>
        <v>0.19477724405958677</v>
      </c>
      <c r="G32">
        <v>22.44</v>
      </c>
      <c r="H32" s="8">
        <f t="shared" si="14"/>
        <v>0.22440000000000002</v>
      </c>
      <c r="I32" s="8"/>
      <c r="J32" s="8"/>
      <c r="K32" s="13" t="s">
        <v>8</v>
      </c>
      <c r="L32" s="18">
        <v>0.46174453941563298</v>
      </c>
      <c r="M32" s="13">
        <v>15.01</v>
      </c>
      <c r="N32" s="8">
        <f>'avg_QALY_cong_psa (nodisc)'!F$2</f>
        <v>0.14538168108045799</v>
      </c>
      <c r="O32">
        <f t="shared" si="15"/>
        <v>7.2797584318153386E-3</v>
      </c>
      <c r="P32" s="18">
        <f t="shared" si="16"/>
        <v>0.46283723115624842</v>
      </c>
      <c r="Q32">
        <v>22.44</v>
      </c>
      <c r="R32" s="8">
        <f t="shared" si="17"/>
        <v>0.22440000000000002</v>
      </c>
    </row>
    <row r="33" spans="1:18" ht="17" x14ac:dyDescent="0.2">
      <c r="A33" s="13" t="s">
        <v>9</v>
      </c>
      <c r="B33" s="16">
        <v>0.23852708763184399</v>
      </c>
      <c r="C33" s="13">
        <v>15.01</v>
      </c>
      <c r="D33" s="6">
        <f>avg_QALY_cong_psa!$F$2</f>
        <v>0.13557738652093401</v>
      </c>
      <c r="E33">
        <f t="shared" si="12"/>
        <v>6.7888238418638289E-3</v>
      </c>
      <c r="F33" s="16">
        <f t="shared" si="13"/>
        <v>0.23954609009050776</v>
      </c>
      <c r="G33">
        <v>17.91</v>
      </c>
      <c r="H33" s="8">
        <f t="shared" si="14"/>
        <v>0.17910000000000001</v>
      </c>
      <c r="I33" s="8"/>
      <c r="J33" s="8"/>
      <c r="K33" s="13" t="s">
        <v>9</v>
      </c>
      <c r="L33" s="18">
        <v>0.56424622058187301</v>
      </c>
      <c r="M33" s="13">
        <v>15.01</v>
      </c>
      <c r="N33" s="8">
        <f>'avg_QALY_cong_psa (nodisc)'!F$2</f>
        <v>0.14538168108045799</v>
      </c>
      <c r="O33">
        <f t="shared" si="15"/>
        <v>7.2797584318153386E-3</v>
      </c>
      <c r="P33" s="18">
        <f t="shared" si="16"/>
        <v>0.56533891232248845</v>
      </c>
      <c r="Q33">
        <v>17.91</v>
      </c>
      <c r="R33" s="8">
        <f t="shared" si="17"/>
        <v>0.17910000000000001</v>
      </c>
    </row>
    <row r="34" spans="1:18" ht="17" x14ac:dyDescent="0.2">
      <c r="A34" s="13" t="s">
        <v>10</v>
      </c>
      <c r="B34" s="16">
        <v>0.28991148117741999</v>
      </c>
      <c r="C34" s="13">
        <v>4.79</v>
      </c>
      <c r="D34" s="6">
        <f>avg_QALY_cong_psa!$F$2</f>
        <v>0.13557738652093401</v>
      </c>
      <c r="E34">
        <f t="shared" si="12"/>
        <v>6.7888238418638289E-3</v>
      </c>
      <c r="F34" s="16">
        <f t="shared" si="13"/>
        <v>0.29023666583944524</v>
      </c>
      <c r="G34">
        <v>13.85</v>
      </c>
      <c r="H34" s="8">
        <f t="shared" si="14"/>
        <v>0.13849999999999998</v>
      </c>
      <c r="I34" s="8"/>
      <c r="J34" s="8"/>
      <c r="K34" s="13" t="s">
        <v>10</v>
      </c>
      <c r="L34" s="18">
        <v>0.66361873879935596</v>
      </c>
      <c r="M34" s="13">
        <v>4.79</v>
      </c>
      <c r="N34" s="8">
        <f>'avg_QALY_cong_psa (nodisc)'!F$2</f>
        <v>0.14538168108045799</v>
      </c>
      <c r="O34">
        <f t="shared" si="15"/>
        <v>7.2797584318153386E-3</v>
      </c>
      <c r="P34" s="18">
        <f t="shared" si="16"/>
        <v>0.66396743922823986</v>
      </c>
      <c r="Q34">
        <v>13.85</v>
      </c>
      <c r="R34" s="8">
        <f t="shared" si="17"/>
        <v>0.13849999999999998</v>
      </c>
    </row>
    <row r="35" spans="1:18" ht="17" x14ac:dyDescent="0.2">
      <c r="A35" s="13" t="s">
        <v>11</v>
      </c>
      <c r="B35" s="16">
        <v>0.30698795887777502</v>
      </c>
      <c r="C35" s="13">
        <v>4.79</v>
      </c>
      <c r="D35" s="6">
        <f>avg_QALY_cong_psa!$F$2</f>
        <v>0.13557738652093401</v>
      </c>
      <c r="E35">
        <f t="shared" si="12"/>
        <v>6.7888238418638289E-3</v>
      </c>
      <c r="F35" s="16">
        <f t="shared" si="13"/>
        <v>0.30731314353980027</v>
      </c>
      <c r="G35">
        <v>8.6</v>
      </c>
      <c r="H35" s="8">
        <f t="shared" si="14"/>
        <v>8.5999999999999993E-2</v>
      </c>
      <c r="I35" s="8"/>
      <c r="J35" s="8"/>
      <c r="K35" s="13" t="s">
        <v>11</v>
      </c>
      <c r="L35" s="18">
        <v>0.677414519496784</v>
      </c>
      <c r="M35" s="13">
        <v>4.79</v>
      </c>
      <c r="N35" s="8">
        <f>'avg_QALY_cong_psa (nodisc)'!F$2</f>
        <v>0.14538168108045799</v>
      </c>
      <c r="O35">
        <f t="shared" si="15"/>
        <v>7.2797584318153386E-3</v>
      </c>
      <c r="P35" s="18">
        <f t="shared" si="16"/>
        <v>0.6777632199256679</v>
      </c>
      <c r="Q35">
        <v>8.6</v>
      </c>
      <c r="R35" s="8">
        <f t="shared" si="17"/>
        <v>8.5999999999999993E-2</v>
      </c>
    </row>
    <row r="36" spans="1:18" ht="17" x14ac:dyDescent="0.2">
      <c r="A36" s="13" t="s">
        <v>12</v>
      </c>
      <c r="B36" s="16">
        <v>0.28315310045442998</v>
      </c>
      <c r="C36" s="13">
        <v>0</v>
      </c>
      <c r="D36" s="6">
        <f>avg_QALY_cong_psa!$F$2</f>
        <v>0.13557738652093401</v>
      </c>
      <c r="E36">
        <f t="shared" si="12"/>
        <v>6.7888238418638289E-3</v>
      </c>
      <c r="F36" s="16">
        <f t="shared" si="13"/>
        <v>0.28315310045442998</v>
      </c>
      <c r="G36">
        <v>4.57</v>
      </c>
      <c r="H36" s="8">
        <f t="shared" si="14"/>
        <v>4.5700000000000005E-2</v>
      </c>
      <c r="I36" s="8"/>
      <c r="J36" s="8"/>
      <c r="K36" s="13" t="s">
        <v>12</v>
      </c>
      <c r="L36" s="18">
        <v>0.55191573507630798</v>
      </c>
      <c r="M36" s="13">
        <v>0</v>
      </c>
      <c r="N36" s="8">
        <f>'avg_QALY_cong_psa (nodisc)'!F$2</f>
        <v>0.14538168108045799</v>
      </c>
      <c r="O36">
        <f t="shared" si="15"/>
        <v>7.2797584318153386E-3</v>
      </c>
      <c r="P36" s="18">
        <f t="shared" si="16"/>
        <v>0.55191573507630798</v>
      </c>
      <c r="Q36">
        <v>4.57</v>
      </c>
      <c r="R36" s="8">
        <f t="shared" si="17"/>
        <v>4.5700000000000005E-2</v>
      </c>
    </row>
    <row r="37" spans="1:18" ht="17" x14ac:dyDescent="0.2">
      <c r="A37" s="13" t="s">
        <v>13</v>
      </c>
      <c r="B37" s="16">
        <v>0.19887943516464601</v>
      </c>
      <c r="C37" s="13">
        <v>0</v>
      </c>
      <c r="D37" s="6">
        <f>avg_QALY_cong_psa!$F$2</f>
        <v>0.13557738652093401</v>
      </c>
      <c r="E37">
        <f t="shared" si="12"/>
        <v>6.7888238418638289E-3</v>
      </c>
      <c r="F37" s="16">
        <f t="shared" si="13"/>
        <v>0.19887943516464601</v>
      </c>
      <c r="G37">
        <v>1.53</v>
      </c>
      <c r="H37" s="8">
        <f t="shared" si="14"/>
        <v>1.5300000000000001E-2</v>
      </c>
      <c r="I37" s="8"/>
      <c r="J37" s="8"/>
      <c r="K37" s="13" t="s">
        <v>13</v>
      </c>
      <c r="L37" s="18">
        <v>0.32720288927050001</v>
      </c>
      <c r="M37" s="13">
        <v>0</v>
      </c>
      <c r="N37" s="8">
        <f>'avg_QALY_cong_psa (nodisc)'!F$2</f>
        <v>0.14538168108045799</v>
      </c>
      <c r="O37">
        <f t="shared" si="15"/>
        <v>7.2797584318153386E-3</v>
      </c>
      <c r="P37" s="18">
        <f t="shared" si="16"/>
        <v>0.32720288927050001</v>
      </c>
      <c r="Q37">
        <v>1.53</v>
      </c>
      <c r="R37" s="8">
        <f t="shared" si="17"/>
        <v>1.5300000000000001E-2</v>
      </c>
    </row>
    <row r="38" spans="1:18" ht="17" x14ac:dyDescent="0.2">
      <c r="A38" s="13" t="s">
        <v>14</v>
      </c>
      <c r="B38" s="16">
        <v>7.5234935540336695E-2</v>
      </c>
      <c r="C38" s="13">
        <v>0</v>
      </c>
      <c r="D38" s="6">
        <f>avg_QALY_cong_psa!$F$2</f>
        <v>0.13557738652093401</v>
      </c>
      <c r="E38">
        <f t="shared" si="12"/>
        <v>6.7888238418638289E-3</v>
      </c>
      <c r="F38" s="16">
        <f t="shared" si="13"/>
        <v>7.5234935540336695E-2</v>
      </c>
      <c r="G38">
        <v>0.22</v>
      </c>
      <c r="H38" s="8">
        <f t="shared" si="14"/>
        <v>2.2000000000000001E-3</v>
      </c>
      <c r="I38" s="8"/>
      <c r="J38" s="8"/>
      <c r="K38" s="13" t="s">
        <v>14</v>
      </c>
      <c r="L38" s="18">
        <v>9.2135991491628697E-2</v>
      </c>
      <c r="M38" s="13">
        <v>0</v>
      </c>
      <c r="N38" s="8">
        <f>'avg_QALY_cong_psa (nodisc)'!F$2</f>
        <v>0.14538168108045799</v>
      </c>
      <c r="O38">
        <f t="shared" si="15"/>
        <v>7.2797584318153386E-3</v>
      </c>
      <c r="P38" s="18">
        <f t="shared" si="16"/>
        <v>9.2135991491628697E-2</v>
      </c>
      <c r="Q38">
        <v>0.22</v>
      </c>
      <c r="R38" s="8">
        <f t="shared" si="17"/>
        <v>2.2000000000000001E-3</v>
      </c>
    </row>
    <row r="39" spans="1:18" ht="17" x14ac:dyDescent="0.2">
      <c r="A39" s="13" t="s">
        <v>53</v>
      </c>
      <c r="B39" s="16">
        <f>B29*$H29+B30*$H30+B31*$H31+B32*$H32+B33*$H33+B34*$H34+B35*$H35+B36*$H36+B37*$H37+B38*$H38</f>
        <v>0.23207081989674649</v>
      </c>
      <c r="F39" s="16">
        <f>F29*$H29+F30*$H30+F31*$H31+F32*$H32+F33*$H33+F34*$H34+F35*$H35+F36*$H36+F37*$H37+F38*$H38</f>
        <v>0.23278465650924163</v>
      </c>
      <c r="K39" s="13" t="s">
        <v>53</v>
      </c>
      <c r="L39" s="18">
        <f>L29*$H29+L30*$H30+L31*$H31+L32*$H32+L33*$H33+L34*$H34+L35*$H35+L36*$H36+L37*$H37+L38*$H38</f>
        <v>0.54403291636544782</v>
      </c>
      <c r="P39" s="18">
        <f>P29*$H29+P30*$H30+P31*$H31+P32*$H32+P33*$H33+P34*$H34+P35*$H35+P36*$H36+P37*$H37+P38*$H38</f>
        <v>0.54479837415604548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C4C6-D5B8-1F45-8521-139C6E58157D}">
  <sheetPr>
    <tabColor theme="4"/>
  </sheetPr>
  <dimension ref="A1:P13"/>
  <sheetViews>
    <sheetView workbookViewId="0">
      <selection activeCell="T37" sqref="T37"/>
    </sheetView>
  </sheetViews>
  <sheetFormatPr baseColWidth="10" defaultRowHeight="16" x14ac:dyDescent="0.2"/>
  <sheetData>
    <row r="1" spans="1:16" ht="106" thickBot="1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t="s">
        <v>17</v>
      </c>
      <c r="G1" s="1" t="s">
        <v>25</v>
      </c>
      <c r="H1" s="1" t="s">
        <v>26</v>
      </c>
      <c r="I1" s="1" t="s">
        <v>27</v>
      </c>
      <c r="J1" s="1" t="s">
        <v>28</v>
      </c>
      <c r="K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t="s">
        <v>34</v>
      </c>
    </row>
    <row r="2" spans="1:16" ht="21" thickBot="1" x14ac:dyDescent="0.25">
      <c r="A2" s="2" t="s">
        <v>4</v>
      </c>
      <c r="B2">
        <v>0.139947796852361</v>
      </c>
      <c r="C2">
        <v>5.9379370340693099E-2</v>
      </c>
      <c r="D2">
        <v>0.13895589415144</v>
      </c>
      <c r="E2">
        <v>7.0620731934127406E-2</v>
      </c>
      <c r="F2">
        <v>0.13895589415144</v>
      </c>
      <c r="G2">
        <v>5.4055340628547603E-2</v>
      </c>
      <c r="H2">
        <v>2.5250391459258999E-2</v>
      </c>
      <c r="I2">
        <v>5.4943069176729198E-2</v>
      </c>
      <c r="J2">
        <v>3.8248153514472499E-2</v>
      </c>
      <c r="K2">
        <v>5.4943069176729198E-2</v>
      </c>
      <c r="L2">
        <v>0.56144736726244704</v>
      </c>
      <c r="M2">
        <v>0.246296748309244</v>
      </c>
      <c r="N2">
        <v>0.581897956035343</v>
      </c>
      <c r="O2">
        <v>0.186529675815677</v>
      </c>
      <c r="P2">
        <v>0.581897956035343</v>
      </c>
    </row>
    <row r="3" spans="1:16" ht="21" thickBot="1" x14ac:dyDescent="0.25">
      <c r="A3" s="2" t="s">
        <v>5</v>
      </c>
      <c r="B3">
        <v>0.13696570942151001</v>
      </c>
      <c r="C3">
        <v>5.8402879936544097E-2</v>
      </c>
      <c r="D3">
        <v>0.12855841624941899</v>
      </c>
      <c r="E3">
        <v>6.99674500572698E-2</v>
      </c>
      <c r="F3">
        <v>0.12855841624941899</v>
      </c>
      <c r="G3">
        <v>5.2985651014511297E-2</v>
      </c>
      <c r="H3">
        <v>2.49100283525674E-2</v>
      </c>
      <c r="I3">
        <v>5.41588409445053E-2</v>
      </c>
      <c r="J3">
        <v>3.8125285462703398E-2</v>
      </c>
      <c r="K3">
        <v>5.41588409445053E-2</v>
      </c>
      <c r="L3">
        <v>0.53890040271636097</v>
      </c>
      <c r="M3">
        <v>0.23787517409755499</v>
      </c>
      <c r="N3">
        <v>0.56304037518005901</v>
      </c>
      <c r="O3">
        <v>0.18348135670548299</v>
      </c>
      <c r="P3">
        <v>0.56304037518005901</v>
      </c>
    </row>
    <row r="4" spans="1:16" ht="21" thickBot="1" x14ac:dyDescent="0.25">
      <c r="A4" s="2" t="s">
        <v>16</v>
      </c>
      <c r="B4">
        <v>0.133396720325926</v>
      </c>
      <c r="C4">
        <v>5.7222894726464801E-2</v>
      </c>
      <c r="D4">
        <v>0.102017158713451</v>
      </c>
      <c r="E4">
        <v>6.9203727387328898E-2</v>
      </c>
      <c r="F4">
        <v>0.102017158713451</v>
      </c>
      <c r="G4">
        <v>5.1723991373692303E-2</v>
      </c>
      <c r="H4">
        <v>2.44824918723467E-2</v>
      </c>
      <c r="I4">
        <v>5.31013539758328E-2</v>
      </c>
      <c r="J4">
        <v>3.7948818822384101E-2</v>
      </c>
      <c r="K4">
        <v>5.3095292961771422E-2</v>
      </c>
      <c r="L4">
        <v>0.51236092293975999</v>
      </c>
      <c r="M4">
        <v>0.228408647593286</v>
      </c>
      <c r="N4">
        <v>0.53939419398573096</v>
      </c>
      <c r="O4">
        <v>0.17795783460610201</v>
      </c>
      <c r="P4">
        <v>0.53924961944197913</v>
      </c>
    </row>
    <row r="5" spans="1:16" ht="21" thickBot="1" x14ac:dyDescent="0.25">
      <c r="A5" s="2" t="s">
        <v>6</v>
      </c>
      <c r="B5">
        <v>0.12940148746031399</v>
      </c>
      <c r="C5">
        <v>5.5891411336823203E-2</v>
      </c>
      <c r="D5">
        <v>7.4263544878121507E-2</v>
      </c>
      <c r="E5">
        <v>6.8335422127919501E-2</v>
      </c>
      <c r="F5">
        <v>7.4263544878121507E-2</v>
      </c>
      <c r="G5">
        <v>5.0406707973640198E-2</v>
      </c>
      <c r="H5">
        <v>2.4006226701972701E-2</v>
      </c>
      <c r="I5">
        <v>5.1874482210083103E-2</v>
      </c>
      <c r="J5">
        <v>3.7797087213276598E-2</v>
      </c>
      <c r="K5">
        <v>5.0321745541935345E-2</v>
      </c>
      <c r="L5">
        <v>0.48263710900927798</v>
      </c>
      <c r="M5">
        <v>0.218320000926988</v>
      </c>
      <c r="N5">
        <v>0.51223785258761401</v>
      </c>
      <c r="O5">
        <v>0.17319338287918901</v>
      </c>
      <c r="P5">
        <v>0.47484124757877477</v>
      </c>
    </row>
    <row r="6" spans="1:16" ht="21" thickBot="1" x14ac:dyDescent="0.25">
      <c r="A6" s="2" t="s">
        <v>7</v>
      </c>
      <c r="B6">
        <v>0.12518583037356401</v>
      </c>
      <c r="C6">
        <v>5.4487037745190002E-2</v>
      </c>
      <c r="D6">
        <v>6.9525871327368094E-2</v>
      </c>
      <c r="E6">
        <v>6.7366548456025299E-2</v>
      </c>
      <c r="F6">
        <v>6.9525871327368094E-2</v>
      </c>
      <c r="G6">
        <v>4.9198512755287797E-2</v>
      </c>
      <c r="H6">
        <v>2.35057481395252E-2</v>
      </c>
      <c r="I6">
        <v>5.0556233360891101E-2</v>
      </c>
      <c r="J6">
        <v>3.76375582033577E-2</v>
      </c>
      <c r="K6">
        <v>4.9131303491015167E-2</v>
      </c>
      <c r="L6">
        <v>0.45386835856155999</v>
      </c>
      <c r="M6">
        <v>0.20759196959683501</v>
      </c>
      <c r="N6">
        <v>0.48331090373330499</v>
      </c>
      <c r="O6">
        <v>0.16845271289376501</v>
      </c>
      <c r="P6">
        <v>0.44858204528370377</v>
      </c>
    </row>
    <row r="7" spans="1:16" ht="21" thickBot="1" x14ac:dyDescent="0.25">
      <c r="A7" s="2" t="s">
        <v>8</v>
      </c>
      <c r="B7">
        <v>0.12061388174561199</v>
      </c>
      <c r="C7">
        <v>5.2977441224697899E-2</v>
      </c>
      <c r="D7">
        <v>6.2362847899176899E-2</v>
      </c>
      <c r="E7">
        <v>6.6281376465877201E-2</v>
      </c>
      <c r="F7">
        <v>6.2362847899176899E-2</v>
      </c>
      <c r="G7">
        <v>4.7909828571742002E-2</v>
      </c>
      <c r="H7">
        <v>2.29773564322951E-2</v>
      </c>
      <c r="I7">
        <v>4.9298161253850101E-2</v>
      </c>
      <c r="J7">
        <v>3.7306915399211098E-2</v>
      </c>
      <c r="K7">
        <v>4.7498275251068783E-2</v>
      </c>
      <c r="L7">
        <v>0.42306028416545699</v>
      </c>
      <c r="M7">
        <v>0.19714706649762101</v>
      </c>
      <c r="N7">
        <v>0.45264892525641798</v>
      </c>
      <c r="O7">
        <v>0.16242050263441599</v>
      </c>
      <c r="P7">
        <v>0.40908563902085543</v>
      </c>
    </row>
    <row r="8" spans="1:16" ht="21" thickBot="1" x14ac:dyDescent="0.25">
      <c r="A8" s="2" t="s">
        <v>9</v>
      </c>
      <c r="B8">
        <v>0.115404345299972</v>
      </c>
      <c r="C8">
        <v>5.12656919141143E-2</v>
      </c>
      <c r="D8">
        <v>6.9034527753757402E-2</v>
      </c>
      <c r="E8">
        <v>6.5058334150599306E-2</v>
      </c>
      <c r="F8">
        <v>6.9034527753757402E-2</v>
      </c>
      <c r="G8">
        <v>4.64636299684087E-2</v>
      </c>
      <c r="H8">
        <v>2.24209426921404E-2</v>
      </c>
      <c r="I8">
        <v>4.7884296167955101E-2</v>
      </c>
      <c r="J8">
        <v>3.7065518774214601E-2</v>
      </c>
      <c r="K8">
        <v>4.6260397681154648E-2</v>
      </c>
      <c r="L8">
        <v>0.39104132765387301</v>
      </c>
      <c r="M8">
        <v>0.185938549758599</v>
      </c>
      <c r="N8">
        <v>0.41896503413747599</v>
      </c>
      <c r="O8">
        <v>0.15381787843759301</v>
      </c>
      <c r="P8">
        <v>0.37916644606692351</v>
      </c>
    </row>
    <row r="9" spans="1:16" ht="21" thickBot="1" x14ac:dyDescent="0.25">
      <c r="A9" s="2" t="s">
        <v>10</v>
      </c>
      <c r="B9">
        <v>0.109393303758779</v>
      </c>
      <c r="C9">
        <v>4.9289499784517701E-2</v>
      </c>
      <c r="D9">
        <v>8.8895668777439596E-2</v>
      </c>
      <c r="E9">
        <v>6.3678176029473094E-2</v>
      </c>
      <c r="F9">
        <v>8.8895668777439596E-2</v>
      </c>
      <c r="G9">
        <v>4.4746940875010001E-2</v>
      </c>
      <c r="H9">
        <v>2.1838423233691499E-2</v>
      </c>
      <c r="I9">
        <v>4.62892471971331E-2</v>
      </c>
      <c r="J9">
        <v>3.6816388438419702E-2</v>
      </c>
      <c r="K9">
        <v>4.5835497262590723E-2</v>
      </c>
      <c r="L9">
        <v>0.35489736610530997</v>
      </c>
      <c r="M9">
        <v>0.17383096514430099</v>
      </c>
      <c r="N9">
        <v>0.38369247007296098</v>
      </c>
      <c r="O9">
        <v>0.14401185853874299</v>
      </c>
      <c r="P9">
        <v>0.37221176878047191</v>
      </c>
    </row>
    <row r="10" spans="1:16" ht="21" thickBot="1" x14ac:dyDescent="0.25">
      <c r="A10" s="2" t="s">
        <v>11</v>
      </c>
      <c r="B10">
        <v>0.102453167833122</v>
      </c>
      <c r="C10">
        <v>4.6996690813983798E-2</v>
      </c>
      <c r="D10">
        <v>9.3734885512642294E-2</v>
      </c>
      <c r="E10">
        <v>6.2117138758143398E-2</v>
      </c>
      <c r="F10">
        <v>9.3734885512642294E-2</v>
      </c>
      <c r="G10">
        <v>4.2380893509249E-2</v>
      </c>
      <c r="H10">
        <v>2.10933138999519E-2</v>
      </c>
      <c r="I10">
        <v>4.4217722347970702E-2</v>
      </c>
      <c r="J10">
        <v>3.6492935927056297E-2</v>
      </c>
      <c r="K10">
        <v>4.3847705078408898E-2</v>
      </c>
      <c r="L10">
        <v>0.31517481450146301</v>
      </c>
      <c r="M10">
        <v>0.160210601752348</v>
      </c>
      <c r="N10">
        <v>0.34468066475676901</v>
      </c>
      <c r="O10">
        <v>0.13470246633553701</v>
      </c>
      <c r="P10">
        <v>0.334622709052392</v>
      </c>
    </row>
    <row r="11" spans="1:16" ht="21" thickBot="1" x14ac:dyDescent="0.25">
      <c r="A11" s="2" t="s">
        <v>12</v>
      </c>
      <c r="B11">
        <v>8.9497931132331801E-2</v>
      </c>
      <c r="C11">
        <v>4.2741204446485902E-2</v>
      </c>
      <c r="D11">
        <v>9.5681452224088304E-2</v>
      </c>
      <c r="E11">
        <v>5.9227770882564798E-2</v>
      </c>
      <c r="F11">
        <v>9.5681452224088304E-2</v>
      </c>
      <c r="G11">
        <v>3.8539218594122203E-2</v>
      </c>
      <c r="H11">
        <v>1.97161104659981E-2</v>
      </c>
      <c r="I11">
        <v>4.0288907191279498E-2</v>
      </c>
      <c r="J11">
        <v>3.5874525939743301E-2</v>
      </c>
      <c r="K11">
        <v>4.0288907191279498E-2</v>
      </c>
      <c r="L11">
        <v>0.24930049217721101</v>
      </c>
      <c r="M11">
        <v>0.134262273380165</v>
      </c>
      <c r="N11">
        <v>0.27635969669603899</v>
      </c>
      <c r="O11">
        <v>0.11816931970748799</v>
      </c>
      <c r="P11">
        <v>0.27635969669603899</v>
      </c>
    </row>
    <row r="12" spans="1:16" ht="21" thickBot="1" x14ac:dyDescent="0.25">
      <c r="A12" s="2" t="s">
        <v>13</v>
      </c>
      <c r="B12">
        <v>7.0709208292157696E-2</v>
      </c>
      <c r="C12">
        <v>3.6142388728082502E-2</v>
      </c>
      <c r="D12">
        <v>7.6749397467525099E-2</v>
      </c>
      <c r="E12">
        <v>5.4949145204300699E-2</v>
      </c>
      <c r="F12">
        <v>7.6749397467525099E-2</v>
      </c>
      <c r="G12">
        <v>3.2704585580322403E-2</v>
      </c>
      <c r="H12">
        <v>1.7608044304007101E-2</v>
      </c>
      <c r="I12">
        <v>3.4721952415343399E-2</v>
      </c>
      <c r="J12">
        <v>3.4999224508261803E-2</v>
      </c>
      <c r="K12">
        <v>3.4721952415343399E-2</v>
      </c>
      <c r="L12">
        <v>0.17208824299403699</v>
      </c>
      <c r="M12">
        <v>9.9444621545934295E-2</v>
      </c>
      <c r="N12">
        <v>0.19345111596884701</v>
      </c>
      <c r="O12">
        <v>9.6466792593892001E-2</v>
      </c>
      <c r="P12">
        <v>0.19345111596884701</v>
      </c>
    </row>
    <row r="13" spans="1:16" ht="21" thickBot="1" x14ac:dyDescent="0.25">
      <c r="A13" s="2" t="s">
        <v>14</v>
      </c>
      <c r="B13">
        <v>3.7417490427142E-2</v>
      </c>
      <c r="C13">
        <v>2.4199883726961201E-2</v>
      </c>
      <c r="D13">
        <v>4.0287454813981299E-2</v>
      </c>
      <c r="E13">
        <v>4.7053427430254799E-2</v>
      </c>
      <c r="F13">
        <v>4.0287454813981299E-2</v>
      </c>
      <c r="G13">
        <v>2.1487565625417902E-2</v>
      </c>
      <c r="H13">
        <v>1.3451635945468301E-2</v>
      </c>
      <c r="I13">
        <v>2.2467208333453299E-2</v>
      </c>
      <c r="J13">
        <v>3.31965660735851E-2</v>
      </c>
      <c r="K13">
        <v>2.2467208333453299E-2</v>
      </c>
      <c r="L13">
        <v>6.4337455793605794E-2</v>
      </c>
      <c r="M13">
        <v>4.3670350685424901E-2</v>
      </c>
      <c r="N13">
        <v>7.1048238757462703E-2</v>
      </c>
      <c r="O13">
        <v>6.8611923135707395E-2</v>
      </c>
      <c r="P13">
        <v>7.1048238757462703E-2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D1F0-2D35-9045-8C00-A53924EEE36C}">
  <sheetPr>
    <tabColor theme="4"/>
  </sheetPr>
  <dimension ref="A1:G6"/>
  <sheetViews>
    <sheetView workbookViewId="0">
      <selection activeCell="T37" sqref="T37"/>
    </sheetView>
  </sheetViews>
  <sheetFormatPr baseColWidth="10" defaultRowHeight="16" x14ac:dyDescent="0.2"/>
  <sheetData>
    <row r="1" spans="1:7" x14ac:dyDescent="0.2">
      <c r="A1" t="s">
        <v>22</v>
      </c>
      <c r="B1" t="s">
        <v>20</v>
      </c>
      <c r="C1" t="s">
        <v>21</v>
      </c>
      <c r="D1" t="s">
        <v>35</v>
      </c>
      <c r="E1" t="s">
        <v>37</v>
      </c>
      <c r="F1" t="s">
        <v>36</v>
      </c>
      <c r="G1" t="s">
        <v>38</v>
      </c>
    </row>
    <row r="2" spans="1:7" x14ac:dyDescent="0.2">
      <c r="A2" t="s">
        <v>0</v>
      </c>
      <c r="B2">
        <v>0.1101303</v>
      </c>
      <c r="C2">
        <f>22205.6*B2</f>
        <v>2445.5093896799999</v>
      </c>
      <c r="D2">
        <v>4.4739507641312626E-2</v>
      </c>
      <c r="E2">
        <f>22205.6*D2</f>
        <v>993.46761087993161</v>
      </c>
      <c r="F2">
        <v>0.3672090565359783</v>
      </c>
      <c r="G2">
        <f>22205.6*F2</f>
        <v>8154.0974258153192</v>
      </c>
    </row>
    <row r="3" spans="1:7" x14ac:dyDescent="0.2">
      <c r="A3" t="s">
        <v>1</v>
      </c>
      <c r="B3">
        <v>4.9484170000000001E-2</v>
      </c>
      <c r="C3">
        <f>76916*B3</f>
        <v>3806.1244197199999</v>
      </c>
      <c r="D3">
        <v>2.1873183325308531E-2</v>
      </c>
      <c r="E3">
        <f>76916*D3</f>
        <v>1682.3977686494309</v>
      </c>
      <c r="F3">
        <v>0.17648464811383269</v>
      </c>
      <c r="G3">
        <f>76916*F3</f>
        <v>13574.493194323555</v>
      </c>
    </row>
    <row r="4" spans="1:7" x14ac:dyDescent="0.2">
      <c r="A4" t="s">
        <v>19</v>
      </c>
      <c r="B4">
        <v>6.282633E-2</v>
      </c>
      <c r="C4">
        <f>SUM(C2,C3)</f>
        <v>6251.6338094000002</v>
      </c>
      <c r="D4">
        <v>2.6903774674829434E-2</v>
      </c>
      <c r="E4">
        <f>SUM(E2,E3)</f>
        <v>2675.8653795293626</v>
      </c>
      <c r="F4">
        <v>0.21844401796670471</v>
      </c>
      <c r="G4">
        <f>SUM(G2,G3)</f>
        <v>21728.590620138875</v>
      </c>
    </row>
    <row r="5" spans="1:7" x14ac:dyDescent="0.2">
      <c r="A5" t="s">
        <v>17</v>
      </c>
      <c r="B5">
        <v>7.5073180000000003E-2</v>
      </c>
      <c r="C5">
        <f>20479.5*B5</f>
        <v>1537.4611898100002</v>
      </c>
      <c r="D5">
        <v>4.6324042046807373E-2</v>
      </c>
      <c r="E5">
        <f>20479.5*D5</f>
        <v>948.69321909759162</v>
      </c>
      <c r="F5">
        <v>0.38990050690047695</v>
      </c>
      <c r="G5">
        <f>20479.5*F5</f>
        <v>7984.9674310683176</v>
      </c>
    </row>
    <row r="6" spans="1:7" x14ac:dyDescent="0.2">
      <c r="A6" t="s">
        <v>18</v>
      </c>
      <c r="B6">
        <v>6.5357070000000003E-2</v>
      </c>
      <c r="C6">
        <f>SUM(C4:C5)</f>
        <v>7789.0949992100004</v>
      </c>
      <c r="D6">
        <v>3.0305395173012242E-2</v>
      </c>
      <c r="E6">
        <f>SUM(E4:E5)</f>
        <v>3624.5585986269543</v>
      </c>
      <c r="F6">
        <v>0.248438835856921</v>
      </c>
      <c r="G6">
        <f>SUM(G4:G5)</f>
        <v>29713.558051207194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age_QALY_psa (nodisc)</vt:lpstr>
      <vt:lpstr>avg_QALY_psa (nodisc)</vt:lpstr>
      <vt:lpstr>avg_QALY_cong_psa (nodisc)</vt:lpstr>
      <vt:lpstr>age_QALY_psa</vt:lpstr>
      <vt:lpstr>avg_QALY_psa</vt:lpstr>
      <vt:lpstr>avg_QALY_cong_psa</vt:lpstr>
      <vt:lpstr>TableS11</vt:lpstr>
      <vt:lpstr>age_QALY_base</vt:lpstr>
      <vt:lpstr>avg_QALY_base</vt:lpstr>
      <vt:lpstr>avg_QALY_cong_base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kyueunl</cp:lastModifiedBy>
  <dcterms:created xsi:type="dcterms:W3CDTF">2020-12-08T04:01:10Z</dcterms:created>
  <dcterms:modified xsi:type="dcterms:W3CDTF">2024-10-14T22:35:33Z</dcterms:modified>
</cp:coreProperties>
</file>