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niktr\Desktop\UA\STI\Practica2\New folder\"/>
    </mc:Choice>
  </mc:AlternateContent>
  <xr:revisionPtr revIDLastSave="0" documentId="13_ncr:1_{2BA1420E-91BC-4F63-8E0F-488BD12AFAB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rticulos" sheetId="1" r:id="rId1"/>
    <sheet name="OFERTA" sheetId="2" r:id="rId2"/>
    <sheet name="IVA y descuentos" sheetId="3" r:id="rId3"/>
    <sheet name="NOTA DE PEDIDO" sheetId="4" r:id="rId4"/>
    <sheet name="Clientes" sheetId="5" r:id="rId5"/>
    <sheet name="ALBARAN" sheetId="6" r:id="rId6"/>
    <sheet name="FACTURA" sheetId="7" r:id="rId7"/>
    <sheet name="formas de pago" sheetId="8" r:id="rId8"/>
  </sheets>
  <definedNames>
    <definedName name="Articulos">Articulos!$A$4:$D$14</definedName>
    <definedName name="Descuento2">'IVA y descuentos'!$A$11:$B$14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7" l="1"/>
  <c r="C19" i="7"/>
  <c r="C18" i="7"/>
  <c r="C17" i="7"/>
  <c r="C16" i="7"/>
  <c r="C15" i="7"/>
  <c r="C14" i="7"/>
  <c r="C13" i="7"/>
  <c r="F28" i="7"/>
  <c r="F27" i="7"/>
  <c r="G6" i="2"/>
  <c r="G7" i="2"/>
  <c r="G8" i="2"/>
  <c r="G9" i="2"/>
  <c r="G10" i="2"/>
  <c r="G5" i="2"/>
  <c r="F14" i="6"/>
  <c r="F15" i="6"/>
  <c r="F13" i="6"/>
  <c r="D28" i="7" l="1"/>
  <c r="H28" i="7" s="1"/>
  <c r="C28" i="7"/>
  <c r="D27" i="7"/>
  <c r="H27" i="7" s="1"/>
  <c r="C27" i="7"/>
  <c r="E15" i="6"/>
  <c r="C15" i="6"/>
  <c r="E14" i="6"/>
  <c r="C14" i="6"/>
  <c r="E13" i="6"/>
  <c r="C13" i="6"/>
  <c r="K10" i="6"/>
  <c r="K9" i="6"/>
  <c r="K8" i="6"/>
  <c r="K7" i="6"/>
  <c r="K6" i="6"/>
  <c r="K5" i="6"/>
  <c r="E24" i="4"/>
  <c r="F24" i="4" s="1"/>
  <c r="G24" i="4" s="1"/>
  <c r="C24" i="4"/>
  <c r="E23" i="4"/>
  <c r="C23" i="4"/>
  <c r="E22" i="4"/>
  <c r="C22" i="4"/>
  <c r="C17" i="4"/>
  <c r="F16" i="4"/>
  <c r="C16" i="4"/>
  <c r="F15" i="4"/>
  <c r="F11" i="4"/>
  <c r="C11" i="4"/>
  <c r="F10" i="4"/>
  <c r="C10" i="4"/>
  <c r="F9" i="4"/>
  <c r="C9" i="4"/>
  <c r="F8" i="4"/>
  <c r="F10" i="2"/>
  <c r="D10" i="2"/>
  <c r="C10" i="2"/>
  <c r="B10" i="2"/>
  <c r="D9" i="2"/>
  <c r="C9" i="2"/>
  <c r="B9" i="2"/>
  <c r="D8" i="2"/>
  <c r="F8" i="2" s="1"/>
  <c r="C8" i="2"/>
  <c r="B8" i="2"/>
  <c r="D7" i="2"/>
  <c r="F7" i="2" s="1"/>
  <c r="C7" i="2"/>
  <c r="B7" i="2"/>
  <c r="D6" i="2"/>
  <c r="C6" i="2"/>
  <c r="B6" i="2"/>
  <c r="F5" i="2"/>
  <c r="D5" i="2"/>
  <c r="C5" i="2"/>
  <c r="B5" i="2"/>
  <c r="G13" i="6" l="1"/>
  <c r="H13" i="6" s="1"/>
  <c r="G14" i="6"/>
  <c r="H14" i="6" s="1"/>
  <c r="G15" i="6"/>
  <c r="H15" i="6" s="1"/>
  <c r="H10" i="2"/>
  <c r="H7" i="2"/>
  <c r="G27" i="7"/>
  <c r="I27" i="7" s="1"/>
  <c r="F6" i="2"/>
  <c r="H6" i="2" s="1"/>
  <c r="F9" i="2"/>
  <c r="H9" i="2" s="1"/>
  <c r="F22" i="4"/>
  <c r="G22" i="4" s="1"/>
  <c r="G28" i="7"/>
  <c r="I28" i="7" s="1"/>
  <c r="F23" i="4"/>
  <c r="G23" i="4" s="1"/>
  <c r="I37" i="7" l="1"/>
  <c r="H22" i="6"/>
  <c r="H23" i="6" s="1"/>
  <c r="H24" i="6" s="1"/>
  <c r="H8" i="2"/>
  <c r="H5" i="2"/>
  <c r="I9" i="2"/>
  <c r="J9" i="2" s="1"/>
  <c r="I6" i="2"/>
  <c r="J6" i="2" s="1"/>
  <c r="I7" i="2"/>
  <c r="J7" i="2" s="1"/>
  <c r="I10" i="2"/>
  <c r="J10" i="2" s="1"/>
  <c r="I5" i="2" l="1"/>
  <c r="J5" i="2" s="1"/>
  <c r="I8" i="2"/>
  <c r="J8" i="2" s="1"/>
</calcChain>
</file>

<file path=xl/sharedStrings.xml><?xml version="1.0" encoding="utf-8"?>
<sst xmlns="http://schemas.openxmlformats.org/spreadsheetml/2006/main" count="216" uniqueCount="155">
  <si>
    <t>Articulos</t>
  </si>
  <si>
    <t>IVA</t>
  </si>
  <si>
    <t>Oferta (presupuesto) de venta</t>
  </si>
  <si>
    <t>NºReferencia</t>
  </si>
  <si>
    <t>Articulo</t>
  </si>
  <si>
    <t>DESCUENTO 1</t>
  </si>
  <si>
    <t>(valido hasta siete días después de la emisión de la oferta)</t>
  </si>
  <si>
    <t>Fecha</t>
  </si>
  <si>
    <t>DESCUENTO 2</t>
  </si>
  <si>
    <t>Descripcion</t>
  </si>
  <si>
    <t>Precio(sin IVA)</t>
  </si>
  <si>
    <t>(por las unidades compradas)</t>
  </si>
  <si>
    <t>CANTIDAD</t>
  </si>
  <si>
    <t>DESCUENTO</t>
  </si>
  <si>
    <t>Xiaomi Redmi Note 7</t>
  </si>
  <si>
    <t>REFERENCIA</t>
  </si>
  <si>
    <t xml:space="preserve">ARTÍCULO   </t>
  </si>
  <si>
    <t>DESCRIPCIÓN</t>
  </si>
  <si>
    <t>PRECIO</t>
  </si>
  <si>
    <t>PRECIO CON DESCUENTOS</t>
  </si>
  <si>
    <t>TOTAL</t>
  </si>
  <si>
    <t>4gb ram, capacidad 64gb, negro</t>
  </si>
  <si>
    <t>Samsung Galaxy A70</t>
  </si>
  <si>
    <t>6gb ram, capacidad 128gb, negro</t>
  </si>
  <si>
    <t>Huawei 20 Lite</t>
  </si>
  <si>
    <t>Samsung Galaxy A20e</t>
  </si>
  <si>
    <t>3gb ram, capacidad 32gb, blanco</t>
  </si>
  <si>
    <t>iPhone 8 Plus</t>
  </si>
  <si>
    <t>3gb ram, capacidad 64gb, oro</t>
  </si>
  <si>
    <t>iPhone 11 Pro Max</t>
  </si>
  <si>
    <t>8gb ram, capacidad 512gb, gris</t>
  </si>
  <si>
    <t>BQ Aquaris</t>
  </si>
  <si>
    <t>3gb ram, capacidad 64gb, blanco y oro</t>
  </si>
  <si>
    <t>Wiko View2 Go</t>
  </si>
  <si>
    <t>2gb ram, capacidad 16gb, rojo</t>
  </si>
  <si>
    <t>Sony Xperia 1</t>
  </si>
  <si>
    <t>6gb ram, capacidad 128gb, gris</t>
  </si>
  <si>
    <t>Sony Xperia XZ3</t>
  </si>
  <si>
    <t>4gb ram, capacidad 64gb, plata</t>
  </si>
  <si>
    <t>Código de cliente</t>
  </si>
  <si>
    <t>NOTA DE PEDIDO</t>
  </si>
  <si>
    <t>NIF</t>
  </si>
  <si>
    <t>Fecha operacion</t>
  </si>
  <si>
    <t>Apellidos</t>
  </si>
  <si>
    <t>Nombre</t>
  </si>
  <si>
    <t>Provincia</t>
  </si>
  <si>
    <t>Población</t>
  </si>
  <si>
    <t>Direccion</t>
  </si>
  <si>
    <t>Codigo postal</t>
  </si>
  <si>
    <t>IBAN</t>
  </si>
  <si>
    <t>BANCO</t>
  </si>
  <si>
    <t>Telefono</t>
  </si>
  <si>
    <t>E-mail</t>
  </si>
  <si>
    <t>Fecha entrega</t>
  </si>
  <si>
    <t>Vendedor</t>
  </si>
  <si>
    <t>48278189-J</t>
  </si>
  <si>
    <t>Mavericks Telefonos</t>
  </si>
  <si>
    <t>Germán Martinez</t>
  </si>
  <si>
    <t>Vicent</t>
  </si>
  <si>
    <t>CIF</t>
  </si>
  <si>
    <t>B86910650</t>
  </si>
  <si>
    <t>Datos del cliente</t>
  </si>
  <si>
    <t>Alicante</t>
  </si>
  <si>
    <t>San Vicente</t>
  </si>
  <si>
    <t>Valencia 22</t>
  </si>
  <si>
    <t>03690</t>
  </si>
  <si>
    <t>ES 89 2039 3457 55 20007433691</t>
  </si>
  <si>
    <t>Santander</t>
  </si>
  <si>
    <t>687 384 349</t>
  </si>
  <si>
    <t>Domicilio</t>
  </si>
  <si>
    <t>Codigo cliente</t>
  </si>
  <si>
    <t>Vicentgm@yahoo.es</t>
  </si>
  <si>
    <t>78597126-A</t>
  </si>
  <si>
    <t>García García</t>
  </si>
  <si>
    <t>Miriam</t>
  </si>
  <si>
    <t>Almería</t>
  </si>
  <si>
    <t>Velez Rubio</t>
  </si>
  <si>
    <t>Mayor 15</t>
  </si>
  <si>
    <t>04820</t>
  </si>
  <si>
    <t>ES 12 4568 6978 32 15874568740</t>
  </si>
  <si>
    <t>Sabadell</t>
  </si>
  <si>
    <t>684 257 993</t>
  </si>
  <si>
    <t xml:space="preserve">garcia2@gmail.com </t>
  </si>
  <si>
    <t>83750984-Y</t>
  </si>
  <si>
    <t>Lopez</t>
  </si>
  <si>
    <t>Pedro</t>
  </si>
  <si>
    <t>Calpe</t>
  </si>
  <si>
    <t>Benidorm 2</t>
  </si>
  <si>
    <t>03710</t>
  </si>
  <si>
    <t>ES 83 3759 1238 12 12348497497</t>
  </si>
  <si>
    <t>CaixaBank</t>
  </si>
  <si>
    <t>711 004 117</t>
  </si>
  <si>
    <t>Pedrolopez2@gmail.com</t>
  </si>
  <si>
    <t>87259714-L</t>
  </si>
  <si>
    <t>Szulk</t>
  </si>
  <si>
    <t>Tomasz</t>
  </si>
  <si>
    <t>Madrid</t>
  </si>
  <si>
    <t>Alcalá de Henares</t>
  </si>
  <si>
    <t>Juan Carlos i 78</t>
  </si>
  <si>
    <t>ES 45 5555 1258 19 01297852855</t>
  </si>
  <si>
    <t>657 458 760</t>
  </si>
  <si>
    <t xml:space="preserve">tomaszszulk@hotmail.com </t>
  </si>
  <si>
    <t>Calle</t>
  </si>
  <si>
    <t>27187558-U</t>
  </si>
  <si>
    <t>Marínez Lopez</t>
  </si>
  <si>
    <t>María José</t>
  </si>
  <si>
    <t>Murcia</t>
  </si>
  <si>
    <t>Lorca</t>
  </si>
  <si>
    <t>Hispanidad 8</t>
  </si>
  <si>
    <t>03667</t>
  </si>
  <si>
    <t>ES 87 5697 1587 16 11114445474</t>
  </si>
  <si>
    <t>mariajo1998@gmail.com</t>
  </si>
  <si>
    <t>Contacto</t>
  </si>
  <si>
    <t>Datos Bancarios</t>
  </si>
  <si>
    <t>Nº Referencia</t>
  </si>
  <si>
    <t>Cantidad</t>
  </si>
  <si>
    <t>Precio unitario</t>
  </si>
  <si>
    <t>Total</t>
  </si>
  <si>
    <t>DATOS DEL CLIENTE</t>
  </si>
  <si>
    <t>Fecha de emisión</t>
  </si>
  <si>
    <t>N ª de Albarán</t>
  </si>
  <si>
    <t>Número de factura</t>
  </si>
  <si>
    <t>Dirección</t>
  </si>
  <si>
    <t xml:space="preserve">Telefono </t>
  </si>
  <si>
    <t>Facturar a:</t>
  </si>
  <si>
    <t>Código cliente</t>
  </si>
  <si>
    <t>Apellido</t>
  </si>
  <si>
    <t>Referencia</t>
  </si>
  <si>
    <t>Dni</t>
  </si>
  <si>
    <t>Artículo</t>
  </si>
  <si>
    <t>Unidades</t>
  </si>
  <si>
    <t>Precio/unidad</t>
  </si>
  <si>
    <t>% descuento</t>
  </si>
  <si>
    <t>Precio con descuento</t>
  </si>
  <si>
    <t xml:space="preserve">Total </t>
  </si>
  <si>
    <t>Ciudad</t>
  </si>
  <si>
    <t>Forma de pago</t>
  </si>
  <si>
    <t xml:space="preserve">Descripción </t>
  </si>
  <si>
    <t xml:space="preserve">Cantidad </t>
  </si>
  <si>
    <t>Descuento</t>
  </si>
  <si>
    <t>Suma Total</t>
  </si>
  <si>
    <t xml:space="preserve">48278189-J
</t>
  </si>
  <si>
    <t>cheque</t>
  </si>
  <si>
    <t>IVA %</t>
  </si>
  <si>
    <t>efectivo</t>
  </si>
  <si>
    <t>transferencia</t>
  </si>
  <si>
    <t>V</t>
  </si>
  <si>
    <t>Total Albarán</t>
  </si>
  <si>
    <t>Observaciones</t>
  </si>
  <si>
    <t>Firma</t>
  </si>
  <si>
    <t>Suma total</t>
  </si>
  <si>
    <t>trajeta de credito</t>
  </si>
  <si>
    <t>965 645 232</t>
  </si>
  <si>
    <t>c/ valencia 22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</si>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</sst>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"/>
    <numFmt numFmtId="165" formatCode="_-* #,##0.00_-;\-* #,##0.00_-;_-* &quot;-&quot;??_-;_-@"/>
  </numFmts>
  <fonts count="20">
    <font>
      <sz val="11"/>
      <color theme="1"/>
      <name val="Arial"/>
    </font>
    <font>
      <sz val="16"/>
      <color theme="0"/>
      <name val="Calibri"/>
    </font>
    <font>
      <sz val="11"/>
      <color theme="0"/>
      <name val="Calibri"/>
    </font>
    <font>
      <i/>
      <sz val="11"/>
      <color theme="1"/>
      <name val="Calibri"/>
    </font>
    <font>
      <sz val="11"/>
      <color rgb="FF006100"/>
      <name val="Calibri"/>
    </font>
    <font>
      <sz val="11"/>
      <color theme="1"/>
      <name val="Calibri"/>
    </font>
    <font>
      <b/>
      <sz val="11"/>
      <color rgb="FF3F3F3F"/>
      <name val="Calibri"/>
    </font>
    <font>
      <sz val="11"/>
      <color rgb="FF3F3F76"/>
      <name val="Calibri"/>
    </font>
    <font>
      <sz val="11"/>
      <color theme="0"/>
      <name val="Arial"/>
    </font>
    <font>
      <sz val="20"/>
      <color theme="0"/>
      <name val="Calibri"/>
    </font>
    <font>
      <sz val="11"/>
      <color rgb="FFFFFFFF"/>
      <name val="Arial"/>
    </font>
    <font>
      <sz val="11"/>
      <color theme="1"/>
      <name val="Arial"/>
    </font>
    <font>
      <u/>
      <sz val="11"/>
      <color theme="1"/>
      <name val="Arial"/>
    </font>
    <font>
      <sz val="11"/>
      <color rgb="FF000000"/>
      <name val="Docs-Calibri"/>
    </font>
    <font>
      <sz val="11"/>
      <name val="Arial"/>
    </font>
    <font>
      <u/>
      <sz val="11"/>
      <color theme="1"/>
      <name val="Calibri"/>
    </font>
    <font>
      <u/>
      <sz val="11"/>
      <color theme="1"/>
      <name val="Arial"/>
    </font>
    <font>
      <sz val="11"/>
      <color rgb="FF3F3F76"/>
      <name val="Arial"/>
    </font>
    <font>
      <sz val="11"/>
      <color rgb="FFFFFFFF"/>
      <name val="Arial"/>
    </font>
    <font>
      <sz val="11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rgb="FFBFBFBF"/>
        <bgColor rgb="FFBFBFBF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2" fillId="4" borderId="3" xfId="0" applyFont="1" applyFill="1" applyBorder="1"/>
    <xf numFmtId="9" fontId="2" fillId="3" borderId="4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0" fontId="2" fillId="4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5" fillId="0" borderId="12" xfId="0" applyFont="1" applyBorder="1"/>
    <xf numFmtId="0" fontId="2" fillId="4" borderId="13" xfId="0" applyFont="1" applyFill="1" applyBorder="1"/>
    <xf numFmtId="0" fontId="6" fillId="6" borderId="14" xfId="0" applyFont="1" applyFill="1" applyBorder="1"/>
    <xf numFmtId="0" fontId="5" fillId="0" borderId="15" xfId="0" applyFont="1" applyBorder="1"/>
    <xf numFmtId="14" fontId="6" fillId="6" borderId="14" xfId="0" applyNumberFormat="1" applyFont="1" applyFill="1" applyBorder="1"/>
    <xf numFmtId="9" fontId="5" fillId="0" borderId="16" xfId="0" applyNumberFormat="1" applyFont="1" applyBorder="1"/>
    <xf numFmtId="0" fontId="2" fillId="7" borderId="17" xfId="0" applyFont="1" applyFill="1" applyBorder="1"/>
    <xf numFmtId="0" fontId="5" fillId="0" borderId="18" xfId="0" applyFont="1" applyBorder="1"/>
    <xf numFmtId="0" fontId="5" fillId="0" borderId="19" xfId="0" applyFont="1" applyBorder="1"/>
    <xf numFmtId="9" fontId="5" fillId="0" borderId="20" xfId="0" applyNumberFormat="1" applyFont="1" applyBorder="1"/>
    <xf numFmtId="164" fontId="5" fillId="0" borderId="21" xfId="0" applyNumberFormat="1" applyFont="1" applyBorder="1"/>
    <xf numFmtId="0" fontId="7" fillId="8" borderId="22" xfId="0" applyFont="1" applyFill="1" applyBorder="1"/>
    <xf numFmtId="0" fontId="5" fillId="9" borderId="22" xfId="0" applyFont="1" applyFill="1" applyBorder="1"/>
    <xf numFmtId="164" fontId="5" fillId="9" borderId="22" xfId="0" applyNumberFormat="1" applyFont="1" applyFill="1" applyBorder="1"/>
    <xf numFmtId="0" fontId="5" fillId="0" borderId="23" xfId="0" applyFont="1" applyBorder="1"/>
    <xf numFmtId="0" fontId="5" fillId="0" borderId="24" xfId="0" applyFont="1" applyBorder="1"/>
    <xf numFmtId="164" fontId="5" fillId="0" borderId="25" xfId="0" applyNumberFormat="1" applyFont="1" applyBorder="1"/>
    <xf numFmtId="0" fontId="8" fillId="4" borderId="3" xfId="0" applyFont="1" applyFill="1" applyBorder="1"/>
    <xf numFmtId="0" fontId="9" fillId="2" borderId="1" xfId="0" applyFont="1" applyFill="1" applyBorder="1" applyAlignment="1">
      <alignment horizontal="center"/>
    </xf>
    <xf numFmtId="0" fontId="8" fillId="4" borderId="5" xfId="0" applyFont="1" applyFill="1" applyBorder="1"/>
    <xf numFmtId="0" fontId="10" fillId="4" borderId="5" xfId="0" applyFont="1" applyFill="1" applyBorder="1" applyAlignment="1"/>
    <xf numFmtId="0" fontId="2" fillId="10" borderId="26" xfId="0" applyFont="1" applyFill="1" applyBorder="1"/>
    <xf numFmtId="0" fontId="8" fillId="4" borderId="27" xfId="0" applyFont="1" applyFill="1" applyBorder="1"/>
    <xf numFmtId="14" fontId="7" fillId="8" borderId="26" xfId="0" applyNumberFormat="1" applyFont="1" applyFill="1" applyBorder="1"/>
    <xf numFmtId="0" fontId="8" fillId="4" borderId="26" xfId="0" applyFont="1" applyFill="1" applyBorder="1"/>
    <xf numFmtId="0" fontId="11" fillId="11" borderId="15" xfId="0" applyFont="1" applyFill="1" applyBorder="1"/>
    <xf numFmtId="0" fontId="11" fillId="11" borderId="19" xfId="0" applyFont="1" applyFill="1" applyBorder="1"/>
    <xf numFmtId="0" fontId="5" fillId="9" borderId="26" xfId="0" applyFont="1" applyFill="1" applyBorder="1"/>
    <xf numFmtId="0" fontId="5" fillId="11" borderId="19" xfId="0" applyFont="1" applyFill="1" applyBorder="1"/>
    <xf numFmtId="49" fontId="11" fillId="11" borderId="19" xfId="0" applyNumberFormat="1" applyFont="1" applyFill="1" applyBorder="1"/>
    <xf numFmtId="0" fontId="2" fillId="7" borderId="28" xfId="0" applyFont="1" applyFill="1" applyBorder="1"/>
    <xf numFmtId="0" fontId="11" fillId="11" borderId="29" xfId="0" applyFont="1" applyFill="1" applyBorder="1"/>
    <xf numFmtId="0" fontId="2" fillId="10" borderId="17" xfId="0" applyFont="1" applyFill="1" applyBorder="1"/>
    <xf numFmtId="0" fontId="7" fillId="8" borderId="17" xfId="0" applyFont="1" applyFill="1" applyBorder="1"/>
    <xf numFmtId="0" fontId="12" fillId="11" borderId="26" xfId="0" applyFont="1" applyFill="1" applyBorder="1"/>
    <xf numFmtId="0" fontId="5" fillId="9" borderId="17" xfId="0" applyFont="1" applyFill="1" applyBorder="1"/>
    <xf numFmtId="0" fontId="13" fillId="12" borderId="0" xfId="0" applyFont="1" applyFill="1" applyAlignment="1">
      <alignment horizontal="left"/>
    </xf>
    <xf numFmtId="0" fontId="2" fillId="10" borderId="22" xfId="0" applyFont="1" applyFill="1" applyBorder="1"/>
    <xf numFmtId="0" fontId="11" fillId="11" borderId="23" xfId="0" applyFont="1" applyFill="1" applyBorder="1"/>
    <xf numFmtId="0" fontId="11" fillId="11" borderId="24" xfId="0" applyFont="1" applyFill="1" applyBorder="1"/>
    <xf numFmtId="0" fontId="5" fillId="11" borderId="24" xfId="0" applyFont="1" applyFill="1" applyBorder="1"/>
    <xf numFmtId="0" fontId="2" fillId="10" borderId="30" xfId="0" applyFont="1" applyFill="1" applyBorder="1"/>
    <xf numFmtId="49" fontId="11" fillId="11" borderId="24" xfId="0" applyNumberFormat="1" applyFont="1" applyFill="1" applyBorder="1"/>
    <xf numFmtId="49" fontId="11" fillId="11" borderId="31" xfId="0" applyNumberFormat="1" applyFont="1" applyFill="1" applyBorder="1"/>
    <xf numFmtId="0" fontId="5" fillId="9" borderId="30" xfId="0" applyFont="1" applyFill="1" applyBorder="1"/>
    <xf numFmtId="0" fontId="14" fillId="12" borderId="0" xfId="0" applyFont="1" applyFill="1"/>
    <xf numFmtId="49" fontId="5" fillId="9" borderId="30" xfId="0" applyNumberFormat="1" applyFont="1" applyFill="1" applyBorder="1"/>
    <xf numFmtId="0" fontId="2" fillId="7" borderId="26" xfId="0" applyFont="1" applyFill="1" applyBorder="1"/>
    <xf numFmtId="0" fontId="7" fillId="8" borderId="30" xfId="0" applyFont="1" applyFill="1" applyBorder="1"/>
    <xf numFmtId="164" fontId="5" fillId="9" borderId="30" xfId="0" applyNumberFormat="1" applyFont="1" applyFill="1" applyBorder="1"/>
    <xf numFmtId="0" fontId="2" fillId="10" borderId="3" xfId="0" applyFont="1" applyFill="1" applyBorder="1"/>
    <xf numFmtId="0" fontId="15" fillId="0" borderId="0" xfId="0" applyFont="1"/>
    <xf numFmtId="0" fontId="5" fillId="9" borderId="13" xfId="0" applyFont="1" applyFill="1" applyBorder="1"/>
    <xf numFmtId="0" fontId="16" fillId="9" borderId="30" xfId="0" applyFont="1" applyFill="1" applyBorder="1"/>
    <xf numFmtId="0" fontId="2" fillId="10" borderId="23" xfId="0" applyFont="1" applyFill="1" applyBorder="1"/>
    <xf numFmtId="0" fontId="5" fillId="9" borderId="25" xfId="0" applyFont="1" applyFill="1" applyBorder="1"/>
    <xf numFmtId="0" fontId="2" fillId="7" borderId="3" xfId="0" applyFont="1" applyFill="1" applyBorder="1"/>
    <xf numFmtId="0" fontId="2" fillId="7" borderId="5" xfId="0" applyFont="1" applyFill="1" applyBorder="1"/>
    <xf numFmtId="0" fontId="2" fillId="7" borderId="13" xfId="0" applyFont="1" applyFill="1" applyBorder="1"/>
    <xf numFmtId="0" fontId="7" fillId="8" borderId="15" xfId="0" applyFont="1" applyFill="1" applyBorder="1"/>
    <xf numFmtId="0" fontId="5" fillId="9" borderId="19" xfId="0" applyFont="1" applyFill="1" applyBorder="1"/>
    <xf numFmtId="0" fontId="2" fillId="10" borderId="10" xfId="0" applyFont="1" applyFill="1" applyBorder="1"/>
    <xf numFmtId="0" fontId="7" fillId="8" borderId="19" xfId="0" applyFont="1" applyFill="1" applyBorder="1"/>
    <xf numFmtId="49" fontId="7" fillId="8" borderId="11" xfId="0" applyNumberFormat="1" applyFont="1" applyFill="1" applyBorder="1"/>
    <xf numFmtId="0" fontId="2" fillId="10" borderId="12" xfId="0" applyFont="1" applyFill="1" applyBorder="1"/>
    <xf numFmtId="164" fontId="5" fillId="9" borderId="19" xfId="0" applyNumberFormat="1" applyFont="1" applyFill="1" applyBorder="1"/>
    <xf numFmtId="0" fontId="5" fillId="9" borderId="16" xfId="0" applyFont="1" applyFill="1" applyBorder="1"/>
    <xf numFmtId="0" fontId="4" fillId="5" borderId="3" xfId="0" applyFont="1" applyFill="1" applyBorder="1"/>
    <xf numFmtId="0" fontId="4" fillId="5" borderId="13" xfId="0" applyFont="1" applyFill="1" applyBorder="1"/>
    <xf numFmtId="164" fontId="5" fillId="9" borderId="21" xfId="0" applyNumberFormat="1" applyFont="1" applyFill="1" applyBorder="1"/>
    <xf numFmtId="0" fontId="2" fillId="13" borderId="26" xfId="0" applyFont="1" applyFill="1" applyBorder="1"/>
    <xf numFmtId="0" fontId="5" fillId="0" borderId="34" xfId="0" applyFont="1" applyBorder="1"/>
    <xf numFmtId="0" fontId="7" fillId="8" borderId="23" xfId="0" applyFont="1" applyFill="1" applyBorder="1"/>
    <xf numFmtId="0" fontId="2" fillId="13" borderId="26" xfId="0" applyFont="1" applyFill="1" applyBorder="1" applyAlignment="1">
      <alignment horizontal="center"/>
    </xf>
    <xf numFmtId="0" fontId="7" fillId="8" borderId="25" xfId="0" applyFont="1" applyFill="1" applyBorder="1"/>
    <xf numFmtId="0" fontId="5" fillId="0" borderId="26" xfId="0" applyFont="1" applyBorder="1"/>
    <xf numFmtId="0" fontId="5" fillId="9" borderId="21" xfId="0" applyFont="1" applyFill="1" applyBorder="1"/>
    <xf numFmtId="0" fontId="10" fillId="10" borderId="18" xfId="0" applyFont="1" applyFill="1" applyBorder="1" applyAlignment="1"/>
    <xf numFmtId="49" fontId="17" fillId="8" borderId="11" xfId="0" applyNumberFormat="1" applyFont="1" applyFill="1" applyBorder="1"/>
    <xf numFmtId="0" fontId="5" fillId="9" borderId="24" xfId="0" applyFont="1" applyFill="1" applyBorder="1"/>
    <xf numFmtId="0" fontId="5" fillId="9" borderId="20" xfId="0" applyFont="1" applyFill="1" applyBorder="1"/>
    <xf numFmtId="0" fontId="7" fillId="8" borderId="24" xfId="0" applyFont="1" applyFill="1" applyBorder="1"/>
    <xf numFmtId="0" fontId="5" fillId="14" borderId="19" xfId="0" applyFont="1" applyFill="1" applyBorder="1"/>
    <xf numFmtId="0" fontId="2" fillId="10" borderId="18" xfId="0" applyFont="1" applyFill="1" applyBorder="1"/>
    <xf numFmtId="9" fontId="5" fillId="9" borderId="19" xfId="0" applyNumberFormat="1" applyFont="1" applyFill="1" applyBorder="1"/>
    <xf numFmtId="0" fontId="2" fillId="13" borderId="36" xfId="0" applyFont="1" applyFill="1" applyBorder="1" applyAlignment="1">
      <alignment horizontal="center"/>
    </xf>
    <xf numFmtId="0" fontId="7" fillId="8" borderId="3" xfId="0" applyFont="1" applyFill="1" applyBorder="1"/>
    <xf numFmtId="0" fontId="5" fillId="9" borderId="5" xfId="0" applyFont="1" applyFill="1" applyBorder="1"/>
    <xf numFmtId="164" fontId="5" fillId="9" borderId="5" xfId="0" applyNumberFormat="1" applyFont="1" applyFill="1" applyBorder="1"/>
    <xf numFmtId="0" fontId="7" fillId="8" borderId="5" xfId="0" applyFont="1" applyFill="1" applyBorder="1"/>
    <xf numFmtId="9" fontId="5" fillId="9" borderId="5" xfId="0" applyNumberFormat="1" applyFont="1" applyFill="1" applyBorder="1"/>
    <xf numFmtId="165" fontId="5" fillId="9" borderId="5" xfId="0" applyNumberFormat="1" applyFont="1" applyFill="1" applyBorder="1"/>
    <xf numFmtId="165" fontId="5" fillId="9" borderId="13" xfId="0" applyNumberFormat="1" applyFont="1" applyFill="1" applyBorder="1"/>
    <xf numFmtId="0" fontId="5" fillId="6" borderId="37" xfId="0" applyFont="1" applyFill="1" applyBorder="1"/>
    <xf numFmtId="0" fontId="5" fillId="6" borderId="38" xfId="0" applyFont="1" applyFill="1" applyBorder="1"/>
    <xf numFmtId="0" fontId="18" fillId="4" borderId="26" xfId="0" applyFont="1" applyFill="1" applyBorder="1" applyAlignment="1"/>
    <xf numFmtId="0" fontId="5" fillId="6" borderId="39" xfId="0" applyFont="1" applyFill="1" applyBorder="1"/>
    <xf numFmtId="0" fontId="11" fillId="11" borderId="26" xfId="0" applyFont="1" applyFill="1" applyBorder="1"/>
    <xf numFmtId="165" fontId="5" fillId="9" borderId="19" xfId="0" applyNumberFormat="1" applyFont="1" applyFill="1" applyBorder="1"/>
    <xf numFmtId="164" fontId="5" fillId="6" borderId="39" xfId="0" applyNumberFormat="1" applyFont="1" applyFill="1" applyBorder="1"/>
    <xf numFmtId="0" fontId="13" fillId="12" borderId="26" xfId="0" applyFont="1" applyFill="1" applyBorder="1" applyAlignment="1">
      <alignment horizontal="left"/>
    </xf>
    <xf numFmtId="0" fontId="5" fillId="6" borderId="40" xfId="0" applyFont="1" applyFill="1" applyBorder="1"/>
    <xf numFmtId="0" fontId="14" fillId="0" borderId="26" xfId="0" applyFont="1" applyBorder="1" applyAlignment="1"/>
    <xf numFmtId="0" fontId="5" fillId="6" borderId="1" xfId="0" applyFont="1" applyFill="1" applyBorder="1"/>
    <xf numFmtId="0" fontId="14" fillId="0" borderId="26" xfId="0" applyFont="1" applyBorder="1"/>
    <xf numFmtId="0" fontId="5" fillId="6" borderId="41" xfId="0" applyFont="1" applyFill="1" applyBorder="1"/>
    <xf numFmtId="165" fontId="5" fillId="9" borderId="21" xfId="0" applyNumberFormat="1" applyFont="1" applyFill="1" applyBorder="1"/>
    <xf numFmtId="164" fontId="5" fillId="6" borderId="41" xfId="0" applyNumberFormat="1" applyFont="1" applyFill="1" applyBorder="1"/>
    <xf numFmtId="0" fontId="19" fillId="0" borderId="0" xfId="0" applyFont="1" applyAlignment="1"/>
    <xf numFmtId="0" fontId="5" fillId="6" borderId="42" xfId="0" applyFont="1" applyFill="1" applyBorder="1"/>
    <xf numFmtId="0" fontId="5" fillId="6" borderId="43" xfId="0" applyFont="1" applyFill="1" applyBorder="1"/>
    <xf numFmtId="0" fontId="5" fillId="6" borderId="44" xfId="0" applyFont="1" applyFill="1" applyBorder="1"/>
    <xf numFmtId="0" fontId="5" fillId="15" borderId="37" xfId="0" applyFont="1" applyFill="1" applyBorder="1"/>
    <xf numFmtId="0" fontId="5" fillId="15" borderId="38" xfId="0" applyFont="1" applyFill="1" applyBorder="1"/>
    <xf numFmtId="0" fontId="5" fillId="15" borderId="39" xfId="0" applyFont="1" applyFill="1" applyBorder="1"/>
    <xf numFmtId="0" fontId="5" fillId="15" borderId="40" xfId="0" applyFont="1" applyFill="1" applyBorder="1"/>
    <xf numFmtId="0" fontId="5" fillId="15" borderId="1" xfId="0" applyFont="1" applyFill="1" applyBorder="1"/>
    <xf numFmtId="0" fontId="5" fillId="9" borderId="2" xfId="0" applyFont="1" applyFill="1" applyBorder="1"/>
    <xf numFmtId="0" fontId="5" fillId="15" borderId="41" xfId="0" applyFont="1" applyFill="1" applyBorder="1"/>
    <xf numFmtId="165" fontId="5" fillId="9" borderId="4" xfId="0" applyNumberFormat="1" applyFont="1" applyFill="1" applyBorder="1"/>
    <xf numFmtId="0" fontId="5" fillId="15" borderId="42" xfId="0" applyFont="1" applyFill="1" applyBorder="1"/>
    <xf numFmtId="0" fontId="5" fillId="15" borderId="43" xfId="0" applyFont="1" applyFill="1" applyBorder="1"/>
    <xf numFmtId="0" fontId="5" fillId="15" borderId="44" xfId="0" applyFont="1" applyFill="1" applyBorder="1"/>
    <xf numFmtId="0" fontId="2" fillId="7" borderId="32" xfId="0" applyFont="1" applyFill="1" applyBorder="1" applyAlignment="1">
      <alignment horizontal="center"/>
    </xf>
    <xf numFmtId="0" fontId="14" fillId="0" borderId="33" xfId="0" applyFont="1" applyBorder="1"/>
    <xf numFmtId="0" fontId="2" fillId="13" borderId="35" xfId="0" applyFont="1" applyFill="1" applyBorder="1" applyAlignment="1">
      <alignment horizontal="center"/>
    </xf>
    <xf numFmtId="0" fontId="14" fillId="0" borderId="3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edrolopez2@gmail.com" TargetMode="External"/><Relationship Id="rId2" Type="http://schemas.openxmlformats.org/officeDocument/2006/relationships/hyperlink" Target="mailto:garcia2@gmail.com" TargetMode="External"/><Relationship Id="rId1" Type="http://schemas.openxmlformats.org/officeDocument/2006/relationships/hyperlink" Target="mailto:Vicentgm@yahoo.es" TargetMode="External"/><Relationship Id="rId5" Type="http://schemas.openxmlformats.org/officeDocument/2006/relationships/hyperlink" Target="mailto:mariajo1998@gmail.com" TargetMode="External"/><Relationship Id="rId4" Type="http://schemas.openxmlformats.org/officeDocument/2006/relationships/hyperlink" Target="mailto:tomaszszulk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00"/>
  <sheetViews>
    <sheetView workbookViewId="0"/>
  </sheetViews>
  <sheetFormatPr baseColWidth="10" defaultColWidth="12.625" defaultRowHeight="15" customHeight="1"/>
  <cols>
    <col min="1" max="1" width="11.375" customWidth="1"/>
    <col min="2" max="2" width="21.75" customWidth="1"/>
    <col min="3" max="3" width="32.5" customWidth="1"/>
    <col min="4" max="4" width="14.75" customWidth="1"/>
    <col min="5" max="26" width="9.375" customWidth="1"/>
  </cols>
  <sheetData>
    <row r="2" spans="1:4" ht="21">
      <c r="A2" s="1" t="s">
        <v>0</v>
      </c>
    </row>
    <row r="4" spans="1:4">
      <c r="A4" s="3" t="s">
        <v>3</v>
      </c>
      <c r="B4" s="7" t="s">
        <v>4</v>
      </c>
      <c r="C4" s="7" t="s">
        <v>9</v>
      </c>
      <c r="D4" s="15" t="s">
        <v>10</v>
      </c>
    </row>
    <row r="5" spans="1:4">
      <c r="A5" s="17">
        <v>1801</v>
      </c>
      <c r="B5" s="22" t="s">
        <v>14</v>
      </c>
      <c r="C5" s="22" t="s">
        <v>21</v>
      </c>
      <c r="D5" s="24">
        <v>185</v>
      </c>
    </row>
    <row r="6" spans="1:4">
      <c r="A6" s="17">
        <v>1802</v>
      </c>
      <c r="B6" s="22" t="s">
        <v>22</v>
      </c>
      <c r="C6" s="22" t="s">
        <v>23</v>
      </c>
      <c r="D6" s="24">
        <v>349</v>
      </c>
    </row>
    <row r="7" spans="1:4">
      <c r="A7" s="17">
        <v>1803</v>
      </c>
      <c r="B7" s="22" t="s">
        <v>24</v>
      </c>
      <c r="C7" s="22" t="s">
        <v>21</v>
      </c>
      <c r="D7" s="24">
        <v>189</v>
      </c>
    </row>
    <row r="8" spans="1:4">
      <c r="A8" s="17">
        <v>1804</v>
      </c>
      <c r="B8" s="22" t="s">
        <v>25</v>
      </c>
      <c r="C8" s="22" t="s">
        <v>26</v>
      </c>
      <c r="D8" s="24">
        <v>155</v>
      </c>
    </row>
    <row r="9" spans="1:4">
      <c r="A9" s="17">
        <v>1805</v>
      </c>
      <c r="B9" s="22" t="s">
        <v>27</v>
      </c>
      <c r="C9" s="22" t="s">
        <v>28</v>
      </c>
      <c r="D9" s="24">
        <v>659</v>
      </c>
    </row>
    <row r="10" spans="1:4">
      <c r="A10" s="17">
        <v>1806</v>
      </c>
      <c r="B10" s="22" t="s">
        <v>29</v>
      </c>
      <c r="C10" s="22" t="s">
        <v>30</v>
      </c>
      <c r="D10" s="24">
        <v>1529</v>
      </c>
    </row>
    <row r="11" spans="1:4">
      <c r="A11" s="17">
        <v>1807</v>
      </c>
      <c r="B11" s="22" t="s">
        <v>31</v>
      </c>
      <c r="C11" s="22" t="s">
        <v>32</v>
      </c>
      <c r="D11" s="24">
        <v>161</v>
      </c>
    </row>
    <row r="12" spans="1:4">
      <c r="A12" s="17">
        <v>1808</v>
      </c>
      <c r="B12" s="22" t="s">
        <v>33</v>
      </c>
      <c r="C12" s="22" t="s">
        <v>34</v>
      </c>
      <c r="D12" s="24">
        <v>111</v>
      </c>
    </row>
    <row r="13" spans="1:4">
      <c r="A13" s="17">
        <v>1809</v>
      </c>
      <c r="B13" s="22" t="s">
        <v>35</v>
      </c>
      <c r="C13" s="22" t="s">
        <v>36</v>
      </c>
      <c r="D13" s="24">
        <v>950</v>
      </c>
    </row>
    <row r="14" spans="1:4">
      <c r="A14" s="28">
        <v>1810</v>
      </c>
      <c r="B14" s="29" t="s">
        <v>37</v>
      </c>
      <c r="C14" s="29" t="s">
        <v>38</v>
      </c>
      <c r="D14" s="30">
        <v>800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D7" sqref="D7"/>
    </sheetView>
  </sheetViews>
  <sheetFormatPr baseColWidth="10" defaultColWidth="12.625" defaultRowHeight="15" customHeight="1"/>
  <cols>
    <col min="1" max="1" width="12" customWidth="1"/>
    <col min="2" max="2" width="18" customWidth="1"/>
    <col min="3" max="3" width="32.375" customWidth="1"/>
    <col min="4" max="4" width="11.75" customWidth="1"/>
    <col min="5" max="5" width="9.375" customWidth="1"/>
    <col min="6" max="6" width="11.75" customWidth="1"/>
    <col min="7" max="7" width="11.125" customWidth="1"/>
    <col min="8" max="8" width="20.75" customWidth="1"/>
    <col min="9" max="26" width="9.375" customWidth="1"/>
  </cols>
  <sheetData>
    <row r="1" spans="1:10">
      <c r="A1" s="5" t="s">
        <v>2</v>
      </c>
      <c r="B1" s="5"/>
    </row>
    <row r="3" spans="1:10">
      <c r="A3" s="16" t="s">
        <v>7</v>
      </c>
      <c r="B3" s="18">
        <v>43779</v>
      </c>
    </row>
    <row r="4" spans="1:10">
      <c r="A4" s="20" t="s">
        <v>15</v>
      </c>
      <c r="B4" s="20" t="s">
        <v>16</v>
      </c>
      <c r="C4" s="20" t="s">
        <v>17</v>
      </c>
      <c r="D4" s="20" t="s">
        <v>18</v>
      </c>
      <c r="E4" s="20" t="s">
        <v>12</v>
      </c>
      <c r="F4" s="20" t="s">
        <v>5</v>
      </c>
      <c r="G4" s="20" t="s">
        <v>8</v>
      </c>
      <c r="H4" s="20" t="s">
        <v>19</v>
      </c>
      <c r="I4" s="20" t="s">
        <v>1</v>
      </c>
      <c r="J4" s="20" t="s">
        <v>20</v>
      </c>
    </row>
    <row r="5" spans="1:10">
      <c r="A5" s="25">
        <v>1802</v>
      </c>
      <c r="B5" s="26" t="str">
        <f t="shared" ref="B5:B10" si="0">VLOOKUP(A5,Articulos,2,FALSE)</f>
        <v>Samsung Galaxy A70</v>
      </c>
      <c r="C5" s="26" t="str">
        <f t="shared" ref="C5:C10" si="1">VLOOKUP(A5,Articulos,3,FALSE)</f>
        <v>6gb ram, capacidad 128gb, negro</v>
      </c>
      <c r="D5" s="27">
        <f t="shared" ref="D5:D10" si="2">VLOOKUP(A5,Articulos,4,FALSE)</f>
        <v>349</v>
      </c>
      <c r="E5" s="25">
        <v>1</v>
      </c>
      <c r="F5" s="27">
        <f>D5*'IVA y descuentos'!$B$4</f>
        <v>17.45</v>
      </c>
      <c r="G5" s="26">
        <f>_xlfn.IFS(E5&gt;='IVA y descuentos'!$A$14,D5*'IVA y descuentos'!$B$14,E5&gt;='IVA y descuentos'!$A$13,D5*'IVA y descuentos'!$B$13,E5&gt;='IVA y descuentos'!$A$12,OFERTA!D5*'IVA y descuentos'!$B$12,E5&lt;'IVA y descuentos'!$A$12,0)</f>
        <v>0</v>
      </c>
      <c r="H5" s="27">
        <f t="shared" ref="H5:H10" si="3">D5-F5-G5</f>
        <v>331.55</v>
      </c>
      <c r="I5" s="27">
        <f>H5*'IVA y descuentos'!$B$1</f>
        <v>69.625500000000002</v>
      </c>
      <c r="J5" s="27">
        <f t="shared" ref="J5:J10" si="4">H5*E5+I5*E5</f>
        <v>401.1755</v>
      </c>
    </row>
    <row r="6" spans="1:10">
      <c r="A6" s="25">
        <v>1804</v>
      </c>
      <c r="B6" s="26" t="str">
        <f t="shared" si="0"/>
        <v>Samsung Galaxy A20e</v>
      </c>
      <c r="C6" s="26" t="str">
        <f t="shared" si="1"/>
        <v>3gb ram, capacidad 32gb, blanco</v>
      </c>
      <c r="D6" s="27">
        <f t="shared" si="2"/>
        <v>155</v>
      </c>
      <c r="E6" s="25">
        <v>2</v>
      </c>
      <c r="F6" s="27">
        <f>D6*'IVA y descuentos'!$B$4</f>
        <v>7.75</v>
      </c>
      <c r="G6" s="26">
        <f>_xlfn.IFS(E6&gt;='IVA y descuentos'!$A$14,D6*'IVA y descuentos'!$B$14,E6&gt;='IVA y descuentos'!$A$13,D6*'IVA y descuentos'!$B$13,E6&gt;='IVA y descuentos'!$A$12,OFERTA!D6*'IVA y descuentos'!$B$12,E6&lt;'IVA y descuentos'!$A$12,0)</f>
        <v>15.5</v>
      </c>
      <c r="H6" s="27">
        <f t="shared" si="3"/>
        <v>131.75</v>
      </c>
      <c r="I6" s="27">
        <f>H6*'IVA y descuentos'!$B$1</f>
        <v>27.6675</v>
      </c>
      <c r="J6" s="27">
        <f t="shared" si="4"/>
        <v>318.83499999999998</v>
      </c>
    </row>
    <row r="7" spans="1:10">
      <c r="A7" s="25">
        <v>1810</v>
      </c>
      <c r="B7" s="26" t="str">
        <f t="shared" si="0"/>
        <v>Sony Xperia XZ3</v>
      </c>
      <c r="C7" s="26" t="str">
        <f t="shared" si="1"/>
        <v>4gb ram, capacidad 64gb, plata</v>
      </c>
      <c r="D7" s="27">
        <f t="shared" si="2"/>
        <v>800</v>
      </c>
      <c r="E7" s="25">
        <v>3</v>
      </c>
      <c r="F7" s="27">
        <f>D7*'IVA y descuentos'!$B$4</f>
        <v>40</v>
      </c>
      <c r="G7" s="26">
        <f>_xlfn.IFS(E7&gt;='IVA y descuentos'!$A$14,D7*'IVA y descuentos'!$B$14,E7&gt;='IVA y descuentos'!$A$13,D7*'IVA y descuentos'!$B$13,E7&gt;='IVA y descuentos'!$A$12,OFERTA!D7*'IVA y descuentos'!$B$12,E7&lt;'IVA y descuentos'!$A$12,0)</f>
        <v>80</v>
      </c>
      <c r="H7" s="27">
        <f t="shared" si="3"/>
        <v>680</v>
      </c>
      <c r="I7" s="27">
        <f>H7*'IVA y descuentos'!$B$1</f>
        <v>142.79999999999998</v>
      </c>
      <c r="J7" s="27">
        <f t="shared" si="4"/>
        <v>2468.4</v>
      </c>
    </row>
    <row r="8" spans="1:10">
      <c r="A8" s="25">
        <v>1801</v>
      </c>
      <c r="B8" s="26" t="str">
        <f t="shared" si="0"/>
        <v>Xiaomi Redmi Note 7</v>
      </c>
      <c r="C8" s="26" t="str">
        <f t="shared" si="1"/>
        <v>4gb ram, capacidad 64gb, negro</v>
      </c>
      <c r="D8" s="27">
        <f t="shared" si="2"/>
        <v>185</v>
      </c>
      <c r="E8" s="25">
        <v>10</v>
      </c>
      <c r="F8" s="27">
        <f>D8*'IVA y descuentos'!$B$4</f>
        <v>9.25</v>
      </c>
      <c r="G8" s="26">
        <f>_xlfn.IFS(E8&gt;='IVA y descuentos'!$A$14,D8*'IVA y descuentos'!$B$14,E8&gt;='IVA y descuentos'!$A$13,D8*'IVA y descuentos'!$B$13,E8&gt;='IVA y descuentos'!$A$12,OFERTA!D8*'IVA y descuentos'!$B$12,E8&lt;'IVA y descuentos'!$A$12,0)</f>
        <v>37</v>
      </c>
      <c r="H8" s="27">
        <f t="shared" si="3"/>
        <v>138.75</v>
      </c>
      <c r="I8" s="27">
        <f>H8*'IVA y descuentos'!$B$1</f>
        <v>29.137499999999999</v>
      </c>
      <c r="J8" s="27">
        <f t="shared" si="4"/>
        <v>1678.875</v>
      </c>
    </row>
    <row r="9" spans="1:10">
      <c r="A9" s="25">
        <v>1807</v>
      </c>
      <c r="B9" s="26" t="str">
        <f t="shared" si="0"/>
        <v>BQ Aquaris</v>
      </c>
      <c r="C9" s="26" t="str">
        <f t="shared" si="1"/>
        <v>3gb ram, capacidad 64gb, blanco y oro</v>
      </c>
      <c r="D9" s="27">
        <f t="shared" si="2"/>
        <v>161</v>
      </c>
      <c r="E9" s="25">
        <v>5</v>
      </c>
      <c r="F9" s="27">
        <f>D9*'IVA y descuentos'!$B$4</f>
        <v>8.0500000000000007</v>
      </c>
      <c r="G9" s="26">
        <f>_xlfn.IFS(E9&gt;='IVA y descuentos'!$A$14,D9*'IVA y descuentos'!$B$14,E9&gt;='IVA y descuentos'!$A$13,D9*'IVA y descuentos'!$B$13,E9&gt;='IVA y descuentos'!$A$12,OFERTA!D9*'IVA y descuentos'!$B$12,E9&lt;'IVA y descuentos'!$A$12,0)</f>
        <v>24.15</v>
      </c>
      <c r="H9" s="27">
        <f t="shared" si="3"/>
        <v>128.79999999999998</v>
      </c>
      <c r="I9" s="27">
        <f>H9*'IVA y descuentos'!$B$1</f>
        <v>27.047999999999995</v>
      </c>
      <c r="J9" s="27">
        <f t="shared" si="4"/>
        <v>779.2399999999999</v>
      </c>
    </row>
    <row r="10" spans="1:10">
      <c r="A10" s="25">
        <v>1806</v>
      </c>
      <c r="B10" s="26" t="str">
        <f t="shared" si="0"/>
        <v>iPhone 11 Pro Max</v>
      </c>
      <c r="C10" s="26" t="str">
        <f t="shared" si="1"/>
        <v>8gb ram, capacidad 512gb, gris</v>
      </c>
      <c r="D10" s="27">
        <f t="shared" si="2"/>
        <v>1529</v>
      </c>
      <c r="E10" s="25">
        <v>2</v>
      </c>
      <c r="F10" s="27">
        <f>D10*'IVA y descuentos'!$B$4</f>
        <v>76.45</v>
      </c>
      <c r="G10" s="26">
        <f>_xlfn.IFS(E10&gt;='IVA y descuentos'!$A$14,D10*'IVA y descuentos'!$B$14,E10&gt;='IVA y descuentos'!$A$13,D10*'IVA y descuentos'!$B$13,E10&gt;='IVA y descuentos'!$A$12,OFERTA!D10*'IVA y descuentos'!$B$12,E10&lt;'IVA y descuentos'!$A$12,0)</f>
        <v>152.9</v>
      </c>
      <c r="H10" s="27">
        <f t="shared" si="3"/>
        <v>1299.6499999999999</v>
      </c>
      <c r="I10" s="27">
        <f>H10*'IVA y descuentos'!$B$1</f>
        <v>272.92649999999998</v>
      </c>
      <c r="J10" s="27">
        <f t="shared" si="4"/>
        <v>3145.1529999999998</v>
      </c>
    </row>
    <row r="11" spans="1:10">
      <c r="A11" s="25"/>
      <c r="B11" s="26"/>
      <c r="C11" s="26"/>
      <c r="D11" s="27"/>
      <c r="E11" s="25"/>
      <c r="F11" s="27"/>
      <c r="G11" s="26"/>
      <c r="H11" s="27"/>
      <c r="I11" s="27"/>
      <c r="J11" s="27"/>
    </row>
    <row r="12" spans="1:10">
      <c r="A12" s="25"/>
      <c r="B12" s="26"/>
      <c r="C12" s="26"/>
      <c r="D12" s="27"/>
      <c r="E12" s="25"/>
      <c r="F12" s="27"/>
      <c r="G12" s="26"/>
      <c r="H12" s="27"/>
      <c r="I12" s="27"/>
      <c r="J12" s="27"/>
    </row>
    <row r="13" spans="1:10">
      <c r="A13" s="25"/>
      <c r="B13" s="26"/>
      <c r="C13" s="26"/>
      <c r="D13" s="27"/>
      <c r="E13" s="25"/>
      <c r="F13" s="27"/>
      <c r="G13" s="26"/>
      <c r="H13" s="27"/>
      <c r="I13" s="27"/>
      <c r="J13" s="27"/>
    </row>
    <row r="14" spans="1:10">
      <c r="A14" s="62"/>
      <c r="B14" s="58"/>
      <c r="C14" s="58"/>
      <c r="D14" s="63"/>
      <c r="E14" s="62"/>
      <c r="F14" s="63"/>
      <c r="G14" s="58"/>
      <c r="H14" s="63"/>
      <c r="I14" s="63"/>
      <c r="J14" s="63"/>
    </row>
    <row r="21" spans="8:8" ht="15.75" customHeight="1">
      <c r="H21" s="65"/>
    </row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B12" sqref="B12"/>
    </sheetView>
  </sheetViews>
  <sheetFormatPr baseColWidth="10" defaultColWidth="12.625" defaultRowHeight="15" customHeight="1"/>
  <cols>
    <col min="1" max="1" width="11.25" customWidth="1"/>
    <col min="2" max="2" width="12.125" customWidth="1"/>
    <col min="3" max="26" width="9.375" customWidth="1"/>
  </cols>
  <sheetData>
    <row r="1" spans="1:4">
      <c r="A1" s="2" t="s">
        <v>1</v>
      </c>
      <c r="B1" s="4">
        <v>0.21</v>
      </c>
    </row>
    <row r="4" spans="1:4">
      <c r="A4" s="2" t="s">
        <v>5</v>
      </c>
      <c r="B4" s="4">
        <v>0.05</v>
      </c>
    </row>
    <row r="5" spans="1:4">
      <c r="A5" s="6" t="s">
        <v>6</v>
      </c>
      <c r="B5" s="6"/>
      <c r="C5" s="6"/>
      <c r="D5" s="6"/>
    </row>
    <row r="9" spans="1:4">
      <c r="A9" s="8" t="s">
        <v>8</v>
      </c>
      <c r="B9" s="9"/>
    </row>
    <row r="10" spans="1:4">
      <c r="A10" s="10" t="s">
        <v>11</v>
      </c>
      <c r="B10" s="11"/>
    </row>
    <row r="11" spans="1:4">
      <c r="A11" s="12" t="s">
        <v>12</v>
      </c>
      <c r="B11" s="13" t="s">
        <v>13</v>
      </c>
    </row>
    <row r="12" spans="1:4">
      <c r="A12" s="14">
        <v>2</v>
      </c>
      <c r="B12" s="19">
        <v>0.1</v>
      </c>
    </row>
    <row r="13" spans="1:4">
      <c r="A13" s="14">
        <v>5</v>
      </c>
      <c r="B13" s="19">
        <v>0.15</v>
      </c>
    </row>
    <row r="14" spans="1:4">
      <c r="A14" s="21">
        <v>10</v>
      </c>
      <c r="B14" s="23">
        <v>0.2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tabSelected="1" workbookViewId="0">
      <selection activeCell="D7" sqref="D7"/>
    </sheetView>
  </sheetViews>
  <sheetFormatPr baseColWidth="10" defaultColWidth="12.625" defaultRowHeight="15" customHeight="1"/>
  <cols>
    <col min="1" max="1" width="9.375" customWidth="1"/>
    <col min="2" max="2" width="17.5" customWidth="1"/>
    <col min="3" max="3" width="25.125" customWidth="1"/>
    <col min="4" max="4" width="9.375" customWidth="1"/>
    <col min="5" max="5" width="22" customWidth="1"/>
    <col min="6" max="6" width="20.125" customWidth="1"/>
    <col min="7" max="26" width="9.375" customWidth="1"/>
  </cols>
  <sheetData>
    <row r="1" spans="2:6" ht="34.5" customHeight="1">
      <c r="C1" s="32" t="s">
        <v>40</v>
      </c>
    </row>
    <row r="3" spans="2:6" ht="16.5" thickTop="1" thickBot="1">
      <c r="B3" s="35" t="s">
        <v>42</v>
      </c>
      <c r="C3" s="37">
        <v>43768</v>
      </c>
      <c r="E3" s="35" t="s">
        <v>53</v>
      </c>
      <c r="F3" s="37">
        <v>43782</v>
      </c>
    </row>
    <row r="4" spans="2:6" ht="16.5" thickTop="1" thickBot="1">
      <c r="B4" s="35" t="s">
        <v>54</v>
      </c>
      <c r="C4" s="41" t="s">
        <v>56</v>
      </c>
      <c r="E4" s="35" t="s">
        <v>51</v>
      </c>
      <c r="F4" s="49" t="s">
        <v>152</v>
      </c>
    </row>
    <row r="5" spans="2:6" ht="16.5" thickTop="1" thickBot="1">
      <c r="B5" s="35" t="s">
        <v>59</v>
      </c>
      <c r="C5" s="41" t="s">
        <v>60</v>
      </c>
    </row>
    <row r="7" spans="2:6">
      <c r="B7" s="44" t="s">
        <v>61</v>
      </c>
      <c r="E7" s="44" t="s">
        <v>69</v>
      </c>
    </row>
    <row r="8" spans="2:6">
      <c r="B8" s="46" t="s">
        <v>70</v>
      </c>
      <c r="C8" s="47">
        <v>1003</v>
      </c>
      <c r="E8" s="46" t="s">
        <v>45</v>
      </c>
      <c r="F8" s="49" t="str">
        <f>VLOOKUP(C8,Clientes!B4:M8,5,FALSE)</f>
        <v>Alicante</v>
      </c>
    </row>
    <row r="9" spans="2:6">
      <c r="B9" s="51" t="s">
        <v>41</v>
      </c>
      <c r="C9" s="26" t="str">
        <f>VLOOKUP(C8,Clientes!B4:M8,2,FALSE)</f>
        <v>83750984-Y</v>
      </c>
      <c r="E9" s="51" t="s">
        <v>46</v>
      </c>
      <c r="F9" s="26" t="str">
        <f>VLOOKUP(C8,Clientes!B4:M8,6,FALSE)</f>
        <v>Calpe</v>
      </c>
    </row>
    <row r="10" spans="2:6">
      <c r="B10" s="51" t="s">
        <v>43</v>
      </c>
      <c r="C10" s="26" t="str">
        <f>VLOOKUP(C8,Clientes!B4:M8,3,FALSE)</f>
        <v>Lopez</v>
      </c>
      <c r="E10" s="51" t="s">
        <v>102</v>
      </c>
      <c r="F10" s="26" t="str">
        <f>VLOOKUP(C8,Clientes!B4:M8,7,FALSE)</f>
        <v>Benidorm 2</v>
      </c>
    </row>
    <row r="11" spans="2:6">
      <c r="B11" s="55" t="s">
        <v>44</v>
      </c>
      <c r="C11" s="58" t="str">
        <f>VLOOKUP(C8,Clientes!B4:M8,4,FALSE)</f>
        <v>Pedro</v>
      </c>
      <c r="E11" s="55" t="s">
        <v>48</v>
      </c>
      <c r="F11" s="60" t="str">
        <f>VLOOKUP(C8,Clientes!B4:M8,8,FALSE)</f>
        <v>03710</v>
      </c>
    </row>
    <row r="14" spans="2:6">
      <c r="E14" s="44" t="s">
        <v>112</v>
      </c>
    </row>
    <row r="15" spans="2:6">
      <c r="B15" s="61" t="s">
        <v>113</v>
      </c>
      <c r="E15" s="46" t="s">
        <v>51</v>
      </c>
      <c r="F15" s="49" t="str">
        <f>VLOOKUP(C8,Clientes!B4:M8,11,FALSE)</f>
        <v>711 004 117</v>
      </c>
    </row>
    <row r="16" spans="2:6">
      <c r="B16" s="64" t="s">
        <v>49</v>
      </c>
      <c r="C16" s="66" t="str">
        <f>VLOOKUP(C8,Clientes!B4:M8,9,FALSE)</f>
        <v>ES 83 3759 1238 12 12348497497</v>
      </c>
      <c r="E16" s="55" t="s">
        <v>52</v>
      </c>
      <c r="F16" s="67" t="str">
        <f>VLOOKUP(C8,Clientes!B4:M8,12,FALSE)</f>
        <v>Pedrolopez2@gmail.com</v>
      </c>
    </row>
    <row r="17" spans="2:7">
      <c r="B17" s="68" t="s">
        <v>50</v>
      </c>
      <c r="C17" s="69" t="str">
        <f>VLOOKUP(C8,Clientes!B4:M8,10,FALSE)</f>
        <v>CaixaBank</v>
      </c>
    </row>
    <row r="21" spans="2:7" ht="15.75" customHeight="1">
      <c r="B21" s="70" t="s">
        <v>114</v>
      </c>
      <c r="C21" s="71" t="s">
        <v>4</v>
      </c>
      <c r="D21" s="71" t="s">
        <v>115</v>
      </c>
      <c r="E21" s="71" t="s">
        <v>116</v>
      </c>
      <c r="F21" s="71" t="s">
        <v>1</v>
      </c>
      <c r="G21" s="72" t="s">
        <v>117</v>
      </c>
    </row>
    <row r="22" spans="2:7" ht="15.75" customHeight="1">
      <c r="B22" s="73">
        <v>1805</v>
      </c>
      <c r="C22" s="74" t="str">
        <f>VLOOKUP(B22,Articulos!A5:D14,2,FALSE)</f>
        <v>iPhone 8 Plus</v>
      </c>
      <c r="D22" s="76">
        <v>9</v>
      </c>
      <c r="E22" s="79">
        <f>VLOOKUP(B22,Articulos!A5:D14,4,FALSE)</f>
        <v>659</v>
      </c>
      <c r="F22" s="79">
        <f>E22*'IVA y descuentos'!$B$1</f>
        <v>138.38999999999999</v>
      </c>
      <c r="G22" s="83">
        <f t="shared" ref="G22:G24" si="0">D22*(E22+F22)</f>
        <v>7176.51</v>
      </c>
    </row>
    <row r="23" spans="2:7" ht="15.75" customHeight="1">
      <c r="B23" s="73">
        <v>1802</v>
      </c>
      <c r="C23" s="74" t="str">
        <f>VLOOKUP(B23,Articulos!A6:D15,2,FALSE)</f>
        <v>Samsung Galaxy A70</v>
      </c>
      <c r="D23" s="76">
        <v>2</v>
      </c>
      <c r="E23" s="79">
        <f>VLOOKUP(B23,Articulos!A6:D15,4,FALSE)</f>
        <v>349</v>
      </c>
      <c r="F23" s="79">
        <f>E23*'IVA y descuentos'!$B$1</f>
        <v>73.289999999999992</v>
      </c>
      <c r="G23" s="83">
        <f t="shared" si="0"/>
        <v>844.57999999999993</v>
      </c>
    </row>
    <row r="24" spans="2:7" ht="15.75" customHeight="1">
      <c r="B24" s="73">
        <v>1804</v>
      </c>
      <c r="C24" s="74" t="str">
        <f>VLOOKUP(B24,Articulos!A7:D16,2,FALSE)</f>
        <v>Samsung Galaxy A20e</v>
      </c>
      <c r="D24" s="76">
        <v>1</v>
      </c>
      <c r="E24" s="79">
        <f>VLOOKUP(B24,Articulos!A7:D16,4,FALSE)</f>
        <v>155</v>
      </c>
      <c r="F24" s="79">
        <f>E24*'IVA y descuentos'!$B$1</f>
        <v>32.549999999999997</v>
      </c>
      <c r="G24" s="83">
        <f t="shared" si="0"/>
        <v>187.55</v>
      </c>
    </row>
    <row r="25" spans="2:7" ht="15.75" customHeight="1">
      <c r="B25" s="73"/>
      <c r="C25" s="74"/>
      <c r="D25" s="76"/>
      <c r="E25" s="74"/>
      <c r="F25" s="74"/>
      <c r="G25" s="90"/>
    </row>
    <row r="26" spans="2:7" ht="15.75" customHeight="1">
      <c r="B26" s="73"/>
      <c r="C26" s="74"/>
      <c r="D26" s="76"/>
      <c r="E26" s="74"/>
      <c r="F26" s="74"/>
      <c r="G26" s="90"/>
    </row>
    <row r="27" spans="2:7" ht="15.75" customHeight="1">
      <c r="B27" s="73"/>
      <c r="C27" s="74"/>
      <c r="D27" s="76"/>
      <c r="E27" s="74"/>
      <c r="F27" s="74"/>
      <c r="G27" s="90"/>
    </row>
    <row r="28" spans="2:7" ht="15.75" customHeight="1">
      <c r="B28" s="73"/>
      <c r="C28" s="74"/>
      <c r="D28" s="76"/>
      <c r="E28" s="74"/>
      <c r="F28" s="74"/>
      <c r="G28" s="90"/>
    </row>
    <row r="29" spans="2:7" ht="15.75" customHeight="1">
      <c r="B29" s="73"/>
      <c r="C29" s="74"/>
      <c r="D29" s="76"/>
      <c r="E29" s="74"/>
      <c r="F29" s="74"/>
      <c r="G29" s="90"/>
    </row>
    <row r="30" spans="2:7" ht="15.75" customHeight="1">
      <c r="B30" s="86"/>
      <c r="C30" s="93"/>
      <c r="D30" s="95"/>
      <c r="E30" s="93"/>
      <c r="F30" s="93"/>
      <c r="G30" s="69"/>
    </row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1000"/>
  <sheetViews>
    <sheetView workbookViewId="0"/>
  </sheetViews>
  <sheetFormatPr baseColWidth="10" defaultColWidth="12.625" defaultRowHeight="15" customHeight="1"/>
  <cols>
    <col min="1" max="1" width="9.375" customWidth="1"/>
    <col min="2" max="2" width="16.625" customWidth="1"/>
    <col min="3" max="3" width="12" customWidth="1"/>
    <col min="4" max="4" width="15.5" customWidth="1"/>
    <col min="5" max="6" width="9.375" customWidth="1"/>
    <col min="7" max="7" width="17.5" customWidth="1"/>
    <col min="8" max="8" width="15.125" customWidth="1"/>
    <col min="9" max="9" width="12.375" customWidth="1"/>
    <col min="10" max="10" width="33.375" customWidth="1"/>
    <col min="11" max="11" width="25.75" customWidth="1"/>
    <col min="12" max="12" width="18.5" customWidth="1"/>
    <col min="13" max="13" width="24.875" customWidth="1"/>
    <col min="14" max="14" width="15.375" customWidth="1"/>
    <col min="15" max="25" width="9.375" customWidth="1"/>
  </cols>
  <sheetData>
    <row r="3" spans="2:14" ht="23.25" customHeight="1">
      <c r="B3" s="31" t="s">
        <v>39</v>
      </c>
      <c r="C3" s="33" t="s">
        <v>41</v>
      </c>
      <c r="D3" s="33" t="s">
        <v>43</v>
      </c>
      <c r="E3" s="33" t="s">
        <v>44</v>
      </c>
      <c r="F3" s="33" t="s">
        <v>45</v>
      </c>
      <c r="G3" s="33" t="s">
        <v>46</v>
      </c>
      <c r="H3" s="34" t="s">
        <v>47</v>
      </c>
      <c r="I3" s="33" t="s">
        <v>48</v>
      </c>
      <c r="J3" s="33" t="s">
        <v>49</v>
      </c>
      <c r="K3" s="33" t="s">
        <v>50</v>
      </c>
      <c r="L3" s="36" t="s">
        <v>51</v>
      </c>
      <c r="M3" s="38" t="s">
        <v>52</v>
      </c>
    </row>
    <row r="4" spans="2:14">
      <c r="B4" s="39">
        <v>1001</v>
      </c>
      <c r="C4" s="40" t="s">
        <v>55</v>
      </c>
      <c r="D4" s="40" t="s">
        <v>57</v>
      </c>
      <c r="E4" s="42" t="s">
        <v>58</v>
      </c>
      <c r="F4" s="40" t="s">
        <v>62</v>
      </c>
      <c r="G4" s="40" t="s">
        <v>63</v>
      </c>
      <c r="H4" s="40" t="s">
        <v>64</v>
      </c>
      <c r="I4" s="43" t="s">
        <v>65</v>
      </c>
      <c r="J4" s="40" t="s">
        <v>66</v>
      </c>
      <c r="K4" s="40" t="s">
        <v>67</v>
      </c>
      <c r="L4" s="45" t="s">
        <v>68</v>
      </c>
      <c r="M4" s="48" t="s">
        <v>71</v>
      </c>
    </row>
    <row r="5" spans="2:14">
      <c r="B5" s="39">
        <v>1002</v>
      </c>
      <c r="C5" s="40" t="s">
        <v>72</v>
      </c>
      <c r="D5" s="40" t="s">
        <v>73</v>
      </c>
      <c r="E5" s="42" t="s">
        <v>74</v>
      </c>
      <c r="F5" s="40" t="s">
        <v>75</v>
      </c>
      <c r="G5" s="40" t="s">
        <v>76</v>
      </c>
      <c r="H5" s="40" t="s">
        <v>77</v>
      </c>
      <c r="I5" s="43" t="s">
        <v>78</v>
      </c>
      <c r="J5" s="40" t="s">
        <v>79</v>
      </c>
      <c r="K5" s="40" t="s">
        <v>80</v>
      </c>
      <c r="L5" s="45" t="s">
        <v>81</v>
      </c>
      <c r="M5" s="48" t="s">
        <v>82</v>
      </c>
      <c r="N5" s="50"/>
    </row>
    <row r="6" spans="2:14">
      <c r="B6" s="39">
        <v>1003</v>
      </c>
      <c r="C6" s="40" t="s">
        <v>83</v>
      </c>
      <c r="D6" s="40" t="s">
        <v>84</v>
      </c>
      <c r="E6" s="42" t="s">
        <v>85</v>
      </c>
      <c r="F6" s="40" t="s">
        <v>62</v>
      </c>
      <c r="G6" s="40" t="s">
        <v>86</v>
      </c>
      <c r="H6" s="40" t="s">
        <v>87</v>
      </c>
      <c r="I6" s="43" t="s">
        <v>88</v>
      </c>
      <c r="J6" s="40" t="s">
        <v>89</v>
      </c>
      <c r="K6" s="40" t="s">
        <v>90</v>
      </c>
      <c r="L6" s="45" t="s">
        <v>91</v>
      </c>
      <c r="M6" s="48" t="s">
        <v>92</v>
      </c>
    </row>
    <row r="7" spans="2:14">
      <c r="B7" s="39">
        <v>1004</v>
      </c>
      <c r="C7" s="40" t="s">
        <v>93</v>
      </c>
      <c r="D7" s="40" t="s">
        <v>94</v>
      </c>
      <c r="E7" s="42" t="s">
        <v>95</v>
      </c>
      <c r="F7" s="40" t="s">
        <v>96</v>
      </c>
      <c r="G7" s="40" t="s">
        <v>97</v>
      </c>
      <c r="H7" s="40" t="s">
        <v>98</v>
      </c>
      <c r="I7" s="43">
        <v>28803</v>
      </c>
      <c r="J7" s="40" t="s">
        <v>99</v>
      </c>
      <c r="K7" s="40" t="s">
        <v>67</v>
      </c>
      <c r="L7" s="45" t="s">
        <v>100</v>
      </c>
      <c r="M7" s="48" t="s">
        <v>101</v>
      </c>
    </row>
    <row r="8" spans="2:14">
      <c r="B8" s="52">
        <v>1005</v>
      </c>
      <c r="C8" s="53" t="s">
        <v>103</v>
      </c>
      <c r="D8" s="53" t="s">
        <v>104</v>
      </c>
      <c r="E8" s="54" t="s">
        <v>105</v>
      </c>
      <c r="F8" s="53" t="s">
        <v>106</v>
      </c>
      <c r="G8" s="53" t="s">
        <v>107</v>
      </c>
      <c r="H8" s="53" t="s">
        <v>108</v>
      </c>
      <c r="I8" s="56" t="s">
        <v>109</v>
      </c>
      <c r="J8" s="53" t="s">
        <v>110</v>
      </c>
      <c r="K8" s="53" t="s">
        <v>90</v>
      </c>
      <c r="L8" s="57">
        <v>685448709</v>
      </c>
      <c r="M8" s="48" t="s">
        <v>111</v>
      </c>
    </row>
    <row r="14" spans="2:14" ht="14.25">
      <c r="K14" s="5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M4" r:id="rId1" xr:uid="{00000000-0004-0000-0400-000000000000}"/>
    <hyperlink ref="M5" r:id="rId2" xr:uid="{00000000-0004-0000-0400-000001000000}"/>
    <hyperlink ref="M6" r:id="rId3" xr:uid="{00000000-0004-0000-0400-000002000000}"/>
    <hyperlink ref="M7" r:id="rId4" xr:uid="{00000000-0004-0000-0400-000003000000}"/>
    <hyperlink ref="M8" r:id="rId5" xr:uid="{00000000-0004-0000-0400-00000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K1000"/>
  <sheetViews>
    <sheetView workbookViewId="0">
      <selection activeCell="F19" sqref="F19"/>
    </sheetView>
  </sheetViews>
  <sheetFormatPr baseColWidth="10" defaultColWidth="12.625" defaultRowHeight="15" customHeight="1"/>
  <cols>
    <col min="1" max="1" width="9.375" customWidth="1"/>
    <col min="2" max="2" width="15" customWidth="1"/>
    <col min="3" max="3" width="27.125" customWidth="1"/>
    <col min="4" max="4" width="9.375" customWidth="1"/>
    <col min="5" max="5" width="11.875" customWidth="1"/>
    <col min="6" max="6" width="12.25" customWidth="1"/>
    <col min="7" max="7" width="20.75" customWidth="1"/>
    <col min="8" max="9" width="9.375" customWidth="1"/>
    <col min="10" max="10" width="20" customWidth="1"/>
    <col min="11" max="11" width="20.625" customWidth="1"/>
    <col min="12" max="26" width="9.375" customWidth="1"/>
  </cols>
  <sheetData>
    <row r="3" spans="2:11">
      <c r="J3" s="137" t="s">
        <v>118</v>
      </c>
      <c r="K3" s="138"/>
    </row>
    <row r="4" spans="2:11">
      <c r="J4" s="75" t="s">
        <v>70</v>
      </c>
      <c r="K4" s="77">
        <v>1001</v>
      </c>
    </row>
    <row r="5" spans="2:11">
      <c r="J5" s="78" t="s">
        <v>44</v>
      </c>
      <c r="K5" s="80" t="str">
        <f>VLOOKUP(ALBARAN!$K$4,Clientes!B3:M8,4,FALSE)</f>
        <v>Vicent</v>
      </c>
    </row>
    <row r="6" spans="2:11">
      <c r="B6" s="81" t="s">
        <v>119</v>
      </c>
      <c r="C6" s="82" t="s">
        <v>120</v>
      </c>
      <c r="J6" s="78" t="s">
        <v>43</v>
      </c>
      <c r="K6" s="80" t="str">
        <f>VLOOKUP(ALBARAN!$K$4,Clientes!B3:M8,3,FALSE)</f>
        <v>Germán Martinez</v>
      </c>
    </row>
    <row r="7" spans="2:11" ht="15" customHeight="1">
      <c r="B7" s="86">
        <v>43772</v>
      </c>
      <c r="C7" s="88">
        <v>401</v>
      </c>
      <c r="J7" s="78" t="s">
        <v>122</v>
      </c>
      <c r="K7" s="80" t="str">
        <f>VLOOKUP(ALBARAN!$K$4,Clientes!B3:M8,7,FALSE)</f>
        <v>Valencia 22</v>
      </c>
    </row>
    <row r="8" spans="2:11">
      <c r="J8" s="78" t="s">
        <v>46</v>
      </c>
      <c r="K8" s="80" t="str">
        <f>VLOOKUP(ALBARAN!$K$4,Clientes!B3:M8,6,FALSE)</f>
        <v>San Vicente</v>
      </c>
    </row>
    <row r="9" spans="2:11">
      <c r="J9" s="78" t="s">
        <v>45</v>
      </c>
      <c r="K9" s="80" t="str">
        <f>VLOOKUP(ALBARAN!$K$4,Clientes!B3:M8,5,FALSE)</f>
        <v>Alicante</v>
      </c>
    </row>
    <row r="10" spans="2:11">
      <c r="J10" s="91" t="s">
        <v>41</v>
      </c>
      <c r="K10" s="94" t="str">
        <f>VLOOKUP(ALBARAN!$K$4,Clientes!B3:M8,2,FALSE)</f>
        <v>48278189-J</v>
      </c>
    </row>
    <row r="12" spans="2:11">
      <c r="B12" s="96" t="s">
        <v>127</v>
      </c>
      <c r="C12" s="96" t="s">
        <v>129</v>
      </c>
      <c r="D12" s="96" t="s">
        <v>130</v>
      </c>
      <c r="E12" s="96" t="s">
        <v>131</v>
      </c>
      <c r="F12" s="96" t="s">
        <v>132</v>
      </c>
      <c r="G12" s="96" t="s">
        <v>133</v>
      </c>
      <c r="H12" s="96" t="s">
        <v>134</v>
      </c>
    </row>
    <row r="13" spans="2:11">
      <c r="B13" s="76">
        <v>1801</v>
      </c>
      <c r="C13" s="74" t="str">
        <f>VLOOKUP(ALBARAN!B13,Articulos,2, FALSE)</f>
        <v>Xiaomi Redmi Note 7</v>
      </c>
      <c r="D13" s="76">
        <v>2</v>
      </c>
      <c r="E13" s="79">
        <f>VLOOKUP(B13,Articulos,4,FALSE)</f>
        <v>185</v>
      </c>
      <c r="F13" s="98">
        <f>_xlfn.IFS(D13&gt;='IVA y descuentos'!$A$14,'IVA y descuentos'!$B$14,D13&gt;='IVA y descuentos'!$A$13,'IVA y descuentos'!$B$13,D13&gt;='IVA y descuentos'!$A$12,'IVA y descuentos'!$B$12,ALBARAN!D13&lt;'IVA y descuentos'!$A$12,0)</f>
        <v>0.1</v>
      </c>
      <c r="G13" s="79">
        <f t="shared" ref="G13:G15" si="0">E13-F13*E13</f>
        <v>166.5</v>
      </c>
      <c r="H13" s="79">
        <f t="shared" ref="H13:H15" si="1">G13*D13</f>
        <v>333</v>
      </c>
    </row>
    <row r="14" spans="2:11">
      <c r="B14" s="76">
        <v>1802</v>
      </c>
      <c r="C14" s="74" t="str">
        <f>VLOOKUP(ALBARAN!B14,Articulos,2, FALSE)</f>
        <v>Samsung Galaxy A70</v>
      </c>
      <c r="D14" s="76">
        <v>5</v>
      </c>
      <c r="E14" s="79">
        <f>VLOOKUP(B14,Articulos,4,FALSE)</f>
        <v>349</v>
      </c>
      <c r="F14" s="98">
        <f>_xlfn.IFS(D14&gt;='IVA y descuentos'!$A$14,'IVA y descuentos'!$B$14,D14&gt;='IVA y descuentos'!$A$13,'IVA y descuentos'!$B$13,D14&gt;='IVA y descuentos'!$A$12,'IVA y descuentos'!$B$12,ALBARAN!D14&lt;'IVA y descuentos'!$A$12,0)</f>
        <v>0.15</v>
      </c>
      <c r="G14" s="79">
        <f t="shared" si="0"/>
        <v>296.64999999999998</v>
      </c>
      <c r="H14" s="79">
        <f t="shared" si="1"/>
        <v>1483.25</v>
      </c>
    </row>
    <row r="15" spans="2:11">
      <c r="B15" s="76">
        <v>1803</v>
      </c>
      <c r="C15" s="74" t="str">
        <f>VLOOKUP(ALBARAN!B15,Articulos,2, FALSE)</f>
        <v>Huawei 20 Lite</v>
      </c>
      <c r="D15" s="76">
        <v>11</v>
      </c>
      <c r="E15" s="79">
        <f>VLOOKUP(B15,Articulos,4,FALSE)</f>
        <v>189</v>
      </c>
      <c r="F15" s="98">
        <f>_xlfn.IFS(D15&gt;='IVA y descuentos'!$A$14,'IVA y descuentos'!$B$14,D15&gt;='IVA y descuentos'!$A$13,'IVA y descuentos'!$B$13,D15&gt;='IVA y descuentos'!$A$12,'IVA y descuentos'!$B$12,ALBARAN!D15&lt;'IVA y descuentos'!$A$12,0)</f>
        <v>0.2</v>
      </c>
      <c r="G15" s="79">
        <f t="shared" si="0"/>
        <v>151.19999999999999</v>
      </c>
      <c r="H15" s="79">
        <f t="shared" si="1"/>
        <v>1663.1999999999998</v>
      </c>
    </row>
    <row r="16" spans="2:11">
      <c r="B16" s="76"/>
      <c r="C16" s="74"/>
      <c r="D16" s="76"/>
      <c r="E16" s="74"/>
      <c r="F16" s="74"/>
      <c r="G16" s="74"/>
      <c r="H16" s="74"/>
    </row>
    <row r="17" spans="2:8">
      <c r="B17" s="76"/>
      <c r="C17" s="74"/>
      <c r="D17" s="76"/>
      <c r="E17" s="74"/>
      <c r="F17" s="74"/>
      <c r="G17" s="74"/>
      <c r="H17" s="74"/>
    </row>
    <row r="18" spans="2:8">
      <c r="B18" s="76"/>
      <c r="C18" s="74"/>
      <c r="D18" s="76"/>
      <c r="E18" s="74"/>
      <c r="F18" s="74"/>
      <c r="G18" s="74"/>
      <c r="H18" s="74"/>
    </row>
    <row r="19" spans="2:8">
      <c r="B19" s="76"/>
      <c r="C19" s="74"/>
      <c r="D19" s="76"/>
      <c r="E19" s="74"/>
      <c r="F19" s="74"/>
      <c r="G19" s="74"/>
      <c r="H19" s="74"/>
    </row>
    <row r="20" spans="2:8">
      <c r="B20" s="76"/>
      <c r="C20" s="74"/>
      <c r="D20" s="76"/>
      <c r="E20" s="74"/>
      <c r="F20" s="74"/>
      <c r="G20" s="74"/>
      <c r="H20" s="74"/>
    </row>
    <row r="21" spans="2:8" ht="15.75" customHeight="1">
      <c r="B21" s="76"/>
      <c r="C21" s="74"/>
      <c r="D21" s="76"/>
      <c r="E21" s="74"/>
      <c r="F21" s="74"/>
      <c r="G21" s="74"/>
      <c r="H21" s="74"/>
    </row>
    <row r="22" spans="2:8" ht="15.75" customHeight="1">
      <c r="B22" s="107"/>
      <c r="C22" s="108"/>
      <c r="D22" s="108"/>
      <c r="E22" s="110" t="s">
        <v>140</v>
      </c>
      <c r="F22" s="107"/>
      <c r="G22" s="108"/>
      <c r="H22" s="113">
        <f>SUM(H13:H21)</f>
        <v>3479.45</v>
      </c>
    </row>
    <row r="23" spans="2:8" ht="15.75" customHeight="1">
      <c r="B23" s="115"/>
      <c r="C23" s="117"/>
      <c r="D23" s="117"/>
      <c r="E23" s="119" t="s">
        <v>143</v>
      </c>
      <c r="F23" s="115"/>
      <c r="G23" s="117"/>
      <c r="H23" s="121">
        <f>H22*21%</f>
        <v>730.68449999999996</v>
      </c>
    </row>
    <row r="24" spans="2:8" ht="15.75" customHeight="1">
      <c r="B24" s="115"/>
      <c r="C24" s="117"/>
      <c r="D24" s="117"/>
      <c r="E24" s="119" t="s">
        <v>147</v>
      </c>
      <c r="F24" s="115"/>
      <c r="G24" s="117"/>
      <c r="H24" s="121">
        <f>H22+H23</f>
        <v>4210.1345000000001</v>
      </c>
    </row>
    <row r="25" spans="2:8" ht="15.75" customHeight="1">
      <c r="B25" s="123"/>
      <c r="C25" s="124"/>
      <c r="D25" s="124"/>
      <c r="E25" s="125"/>
      <c r="F25" s="123"/>
      <c r="G25" s="124"/>
      <c r="H25" s="125"/>
    </row>
    <row r="26" spans="2:8" ht="15.75" customHeight="1">
      <c r="B26" s="126" t="s">
        <v>148</v>
      </c>
      <c r="C26" s="127"/>
      <c r="D26" s="127"/>
      <c r="E26" s="128"/>
      <c r="F26" s="126" t="s">
        <v>149</v>
      </c>
      <c r="G26" s="127"/>
      <c r="H26" s="128"/>
    </row>
    <row r="27" spans="2:8" ht="15.75" customHeight="1">
      <c r="B27" s="129"/>
      <c r="C27" s="130"/>
      <c r="D27" s="130"/>
      <c r="E27" s="132"/>
      <c r="F27" s="129"/>
      <c r="G27" s="130"/>
      <c r="H27" s="132"/>
    </row>
    <row r="28" spans="2:8" ht="15.75" customHeight="1">
      <c r="B28" s="134"/>
      <c r="C28" s="135"/>
      <c r="D28" s="135"/>
      <c r="E28" s="136"/>
      <c r="F28" s="134"/>
      <c r="G28" s="135"/>
      <c r="H28" s="136"/>
    </row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3:K3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1000"/>
  <sheetViews>
    <sheetView workbookViewId="0">
      <selection activeCell="E6" sqref="E6"/>
    </sheetView>
  </sheetViews>
  <sheetFormatPr baseColWidth="10" defaultColWidth="12.625" defaultRowHeight="15" customHeight="1"/>
  <cols>
    <col min="1" max="1" width="9.375" customWidth="1"/>
    <col min="2" max="2" width="22.625" customWidth="1"/>
    <col min="3" max="3" width="22" customWidth="1"/>
    <col min="4" max="4" width="15" customWidth="1"/>
    <col min="5" max="5" width="8.75" customWidth="1"/>
    <col min="6" max="6" width="12.125" customWidth="1"/>
    <col min="7" max="7" width="20.125" customWidth="1"/>
    <col min="8" max="8" width="13.125" customWidth="1"/>
    <col min="9" max="26" width="9.375" customWidth="1"/>
  </cols>
  <sheetData>
    <row r="1" spans="2:9" ht="15" customHeight="1" thickBot="1"/>
    <row r="2" spans="2:9" ht="15" customHeight="1" thickTop="1" thickBot="1">
      <c r="B2" s="84" t="s">
        <v>154</v>
      </c>
      <c r="C2" s="85" t="s">
        <v>56</v>
      </c>
    </row>
    <row r="3" spans="2:9" ht="16.5" thickTop="1" thickBot="1">
      <c r="B3" s="84" t="s">
        <v>47</v>
      </c>
      <c r="C3" s="85" t="s">
        <v>153</v>
      </c>
      <c r="H3" s="87" t="s">
        <v>121</v>
      </c>
      <c r="I3" s="87" t="s">
        <v>7</v>
      </c>
    </row>
    <row r="4" spans="2:9">
      <c r="B4" s="84" t="s">
        <v>135</v>
      </c>
      <c r="C4" s="85" t="s">
        <v>62</v>
      </c>
      <c r="H4" s="89"/>
      <c r="I4" s="89"/>
    </row>
    <row r="5" spans="2:9">
      <c r="B5" s="84" t="s">
        <v>123</v>
      </c>
      <c r="C5" s="85" t="s">
        <v>152</v>
      </c>
    </row>
    <row r="10" spans="2:9">
      <c r="B10" s="139" t="s">
        <v>124</v>
      </c>
      <c r="C10" s="140"/>
    </row>
    <row r="11" spans="2:9">
      <c r="B11" s="75" t="s">
        <v>125</v>
      </c>
      <c r="C11" s="92">
        <v>1004</v>
      </c>
    </row>
    <row r="12" spans="2:9">
      <c r="B12" s="78" t="s">
        <v>44</v>
      </c>
      <c r="C12" s="80" t="str">
        <f>VLOOKUP($C$11,Clientes!$B$4:$M$8,4,FALSE)</f>
        <v>Tomasz</v>
      </c>
    </row>
    <row r="13" spans="2:9">
      <c r="B13" s="78" t="s">
        <v>126</v>
      </c>
      <c r="C13" s="80" t="str">
        <f>VLOOKUP($C$11,Clientes!$B$4:$M$8,3,FALSE)</f>
        <v>Szulk</v>
      </c>
    </row>
    <row r="14" spans="2:9">
      <c r="B14" s="78" t="s">
        <v>128</v>
      </c>
      <c r="C14" s="80" t="str">
        <f>VLOOKUP($C$11,Clientes!$B$4:$M$8,2,FALSE)</f>
        <v>87259714-L</v>
      </c>
    </row>
    <row r="15" spans="2:9">
      <c r="B15" s="78" t="s">
        <v>51</v>
      </c>
      <c r="C15" s="80" t="str">
        <f>VLOOKUP($C$11,Clientes!$B$4:$M$8,11,FALSE)</f>
        <v>657 458 760</v>
      </c>
    </row>
    <row r="16" spans="2:9">
      <c r="B16" s="78" t="s">
        <v>122</v>
      </c>
      <c r="C16" s="80" t="str">
        <f>VLOOKUP($C$11,Clientes!$B$4:$M$8,7,FALSE)</f>
        <v>Juan Carlos i 78</v>
      </c>
    </row>
    <row r="17" spans="2:9">
      <c r="B17" s="78" t="s">
        <v>135</v>
      </c>
      <c r="C17" s="80" t="str">
        <f>VLOOKUP($C$11,Clientes!$B$4:$M$8,6,FALSE)</f>
        <v>Alcalá de Henares</v>
      </c>
    </row>
    <row r="18" spans="2:9">
      <c r="B18" s="78" t="s">
        <v>45</v>
      </c>
      <c r="C18" s="80" t="str">
        <f>VLOOKUP($C$11,Clientes!$B$4:$M$8,5,FALSE)</f>
        <v>Madrid</v>
      </c>
    </row>
    <row r="19" spans="2:9">
      <c r="B19" s="97" t="s">
        <v>136</v>
      </c>
      <c r="C19" s="80" t="str">
        <f>VLOOKUP(C14,'formas de pago'!C4:D8,2,FALSE)</f>
        <v>transferencia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>
      <c r="B26" s="87" t="s">
        <v>127</v>
      </c>
      <c r="C26" s="87" t="s">
        <v>137</v>
      </c>
      <c r="D26" s="87" t="s">
        <v>116</v>
      </c>
      <c r="E26" s="87" t="s">
        <v>138</v>
      </c>
      <c r="F26" s="87" t="s">
        <v>139</v>
      </c>
      <c r="G26" s="87" t="s">
        <v>133</v>
      </c>
      <c r="H26" s="87" t="s">
        <v>1</v>
      </c>
      <c r="I26" s="99" t="s">
        <v>117</v>
      </c>
    </row>
    <row r="27" spans="2:9" ht="15.75" customHeight="1" thickTop="1" thickBot="1">
      <c r="B27" s="100">
        <v>1805</v>
      </c>
      <c r="C27" s="101" t="str">
        <f>VLOOKUP(B27,Articulos,2,FALSE)</f>
        <v>iPhone 8 Plus</v>
      </c>
      <c r="D27" s="102">
        <f>VLOOKUP(B27,Articulos,4,FALSE)</f>
        <v>659</v>
      </c>
      <c r="E27" s="103">
        <v>3</v>
      </c>
      <c r="F27" s="104">
        <f>_xlfn.IFS(E27&gt;='IVA y descuentos'!$A$14,'IVA y descuentos'!$B$14,E27&gt;='IVA y descuentos'!$A$13,'IVA y descuentos'!$B$13,E27&gt;='IVA y descuentos'!$A$12,'IVA y descuentos'!$B$12,FACTURA!E27&lt;'IVA y descuentos'!$A$12,0)</f>
        <v>0.1</v>
      </c>
      <c r="G27" s="105">
        <f t="shared" ref="G27:G28" si="0">(D27-D27*F27)</f>
        <v>593.1</v>
      </c>
      <c r="H27" s="105">
        <f>D27*'IVA y descuentos'!$B$1</f>
        <v>138.38999999999999</v>
      </c>
      <c r="I27" s="106">
        <f t="shared" ref="I27:I28" si="1">G27*E27+H27*E27</f>
        <v>2194.4700000000003</v>
      </c>
    </row>
    <row r="28" spans="2:9" ht="15.75" customHeight="1" thickTop="1" thickBot="1">
      <c r="B28" s="73">
        <v>1803</v>
      </c>
      <c r="C28" s="74" t="str">
        <f>VLOOKUP(B28,Articulos,2,FALSE)</f>
        <v>Huawei 20 Lite</v>
      </c>
      <c r="D28" s="79">
        <f>VLOOKUP(B28,Articulos,4,FALSE)</f>
        <v>189</v>
      </c>
      <c r="E28" s="76">
        <v>10</v>
      </c>
      <c r="F28" s="104">
        <f>_xlfn.IFS(E28&gt;='IVA y descuentos'!$A$14,'IVA y descuentos'!$B$14,E28&gt;='IVA y descuentos'!$A$13,'IVA y descuentos'!$B$13,E28&gt;='IVA y descuentos'!$A$12,'IVA y descuentos'!$B$12,FACTURA!E28&lt;'IVA y descuentos'!$A$12,0)</f>
        <v>0.2</v>
      </c>
      <c r="G28" s="112">
        <f t="shared" si="0"/>
        <v>151.19999999999999</v>
      </c>
      <c r="H28" s="112">
        <f>D28*'IVA y descuentos'!$B$1</f>
        <v>39.69</v>
      </c>
      <c r="I28" s="120">
        <f t="shared" si="1"/>
        <v>1908.9</v>
      </c>
    </row>
    <row r="29" spans="2:9" ht="15.75" customHeight="1" thickBot="1">
      <c r="B29" s="73"/>
      <c r="C29" s="74"/>
      <c r="D29" s="74"/>
      <c r="E29" s="76"/>
      <c r="F29" s="74"/>
      <c r="G29" s="74"/>
      <c r="H29" s="74"/>
      <c r="I29" s="90"/>
    </row>
    <row r="30" spans="2:9" ht="15.75" customHeight="1">
      <c r="B30" s="73"/>
      <c r="C30" s="74"/>
      <c r="D30" s="74"/>
      <c r="E30" s="76"/>
      <c r="F30" s="74"/>
      <c r="G30" s="74"/>
      <c r="H30" s="74"/>
      <c r="I30" s="90"/>
    </row>
    <row r="31" spans="2:9" ht="15.75" customHeight="1">
      <c r="B31" s="73"/>
      <c r="C31" s="74"/>
      <c r="D31" s="74"/>
      <c r="E31" s="76"/>
      <c r="F31" s="74"/>
      <c r="G31" s="74"/>
      <c r="H31" s="74"/>
      <c r="I31" s="90"/>
    </row>
    <row r="32" spans="2:9" ht="15.75" customHeight="1">
      <c r="B32" s="73"/>
      <c r="C32" s="74"/>
      <c r="D32" s="74"/>
      <c r="E32" s="76"/>
      <c r="F32" s="74"/>
      <c r="G32" s="74"/>
      <c r="H32" s="74"/>
      <c r="I32" s="90"/>
    </row>
    <row r="33" spans="2:9" ht="15.75" customHeight="1">
      <c r="B33" s="73"/>
      <c r="C33" s="74"/>
      <c r="D33" s="74"/>
      <c r="E33" s="76"/>
      <c r="F33" s="74"/>
      <c r="G33" s="74"/>
      <c r="H33" s="74"/>
      <c r="I33" s="90"/>
    </row>
    <row r="34" spans="2:9" ht="15.75" customHeight="1">
      <c r="B34" s="73"/>
      <c r="C34" s="74"/>
      <c r="D34" s="74"/>
      <c r="E34" s="76"/>
      <c r="F34" s="74"/>
      <c r="G34" s="74"/>
      <c r="H34" s="74"/>
      <c r="I34" s="90"/>
    </row>
    <row r="35" spans="2:9" ht="15.75" customHeight="1">
      <c r="B35" s="73"/>
      <c r="C35" s="74"/>
      <c r="D35" s="74"/>
      <c r="E35" s="76"/>
      <c r="F35" s="74"/>
      <c r="G35" s="74"/>
      <c r="H35" s="74"/>
      <c r="I35" s="90"/>
    </row>
    <row r="36" spans="2:9" ht="15.75" customHeight="1">
      <c r="B36" s="86"/>
      <c r="C36" s="93"/>
      <c r="D36" s="93"/>
      <c r="E36" s="95"/>
      <c r="F36" s="93"/>
      <c r="G36" s="93"/>
      <c r="H36" s="93"/>
      <c r="I36" s="69"/>
    </row>
    <row r="37" spans="2:9" ht="15.75" customHeight="1">
      <c r="H37" s="131" t="s">
        <v>150</v>
      </c>
      <c r="I37" s="133">
        <f>SUM(I27:I28)</f>
        <v>4103.3700000000008</v>
      </c>
    </row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0:C1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I24"/>
  <sheetViews>
    <sheetView workbookViewId="0">
      <selection activeCell="C7" sqref="C7"/>
    </sheetView>
  </sheetViews>
  <sheetFormatPr baseColWidth="10" defaultColWidth="12.625" defaultRowHeight="15" customHeight="1"/>
  <cols>
    <col min="1" max="1" width="14" customWidth="1"/>
    <col min="4" max="4" width="13.625" customWidth="1"/>
  </cols>
  <sheetData>
    <row r="3" spans="1:8" ht="14.25">
      <c r="A3" s="109" t="s">
        <v>43</v>
      </c>
      <c r="B3" s="109" t="s">
        <v>44</v>
      </c>
      <c r="C3" s="109" t="s">
        <v>128</v>
      </c>
      <c r="D3" s="109" t="s">
        <v>136</v>
      </c>
    </row>
    <row r="4" spans="1:8" ht="15.75" customHeight="1">
      <c r="A4" s="111" t="s">
        <v>57</v>
      </c>
      <c r="B4" s="114" t="s">
        <v>58</v>
      </c>
      <c r="C4" s="116" t="s">
        <v>141</v>
      </c>
      <c r="D4" s="116" t="s">
        <v>142</v>
      </c>
      <c r="H4" s="118"/>
    </row>
    <row r="5" spans="1:8" ht="14.25">
      <c r="A5" s="111" t="s">
        <v>73</v>
      </c>
      <c r="B5" s="116" t="s">
        <v>74</v>
      </c>
      <c r="C5" s="116" t="s">
        <v>72</v>
      </c>
      <c r="D5" s="116" t="s">
        <v>144</v>
      </c>
    </row>
    <row r="6" spans="1:8" ht="14.25">
      <c r="A6" s="111" t="s">
        <v>84</v>
      </c>
      <c r="B6" s="116" t="s">
        <v>85</v>
      </c>
      <c r="C6" s="116" t="s">
        <v>83</v>
      </c>
      <c r="D6" s="116" t="s">
        <v>144</v>
      </c>
    </row>
    <row r="7" spans="1:8" ht="14.25">
      <c r="A7" s="111" t="s">
        <v>94</v>
      </c>
      <c r="B7" s="116" t="s">
        <v>95</v>
      </c>
      <c r="C7" s="116" t="s">
        <v>93</v>
      </c>
      <c r="D7" s="116" t="s">
        <v>145</v>
      </c>
    </row>
    <row r="8" spans="1:8" ht="14.25">
      <c r="A8" s="111" t="s">
        <v>104</v>
      </c>
      <c r="B8" s="116" t="s">
        <v>105</v>
      </c>
      <c r="C8" s="116" t="s">
        <v>103</v>
      </c>
      <c r="D8" s="116" t="s">
        <v>151</v>
      </c>
    </row>
    <row r="24" spans="9:9">
      <c r="I24" s="12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Articulos</vt:lpstr>
      <vt:lpstr>OFERTA</vt:lpstr>
      <vt:lpstr>IVA y descuentos</vt:lpstr>
      <vt:lpstr>NOTA DE PEDIDO</vt:lpstr>
      <vt:lpstr>Clientes</vt:lpstr>
      <vt:lpstr>ALBARAN</vt:lpstr>
      <vt:lpstr>FACTURA</vt:lpstr>
      <vt:lpstr>formas de pago</vt:lpstr>
      <vt:lpstr>Articulos</vt:lpstr>
      <vt:lpstr>Descuento2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Nik</cp:lastModifiedBy>
  <dcterms:created xsi:type="dcterms:W3CDTF">2019-11-09T15:36:05Z</dcterms:created>
  <dcterms:modified xsi:type="dcterms:W3CDTF">2019-11-13T16:48:40Z</dcterms:modified>
</cp:coreProperties>
</file>